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externalReferences>
    <externalReference r:id="rId10"/>
    <externalReference r:id="rId11"/>
  </externalReferences>
  <calcPr calcId="124519"/>
</workbook>
</file>

<file path=xl/calcChain.xml><?xml version="1.0" encoding="utf-8"?>
<calcChain xmlns="http://schemas.openxmlformats.org/spreadsheetml/2006/main">
  <c r="H11" i="3"/>
  <c r="H24" i="2"/>
  <c r="G24"/>
  <c r="F14"/>
  <c r="F48" i="1"/>
  <c r="F36"/>
  <c r="H42"/>
  <c r="H38"/>
  <c r="H24"/>
  <c r="H19"/>
  <c r="H8"/>
  <c r="G21"/>
  <c r="G12"/>
  <c r="F20"/>
  <c r="F24"/>
  <c r="F14"/>
  <c r="F6"/>
  <c r="B15" i="7"/>
  <c r="B14"/>
  <c r="B12"/>
  <c r="B10"/>
  <c r="B8"/>
  <c r="B6"/>
  <c r="B22" i="6"/>
  <c r="B20"/>
  <c r="B18"/>
  <c r="B16"/>
  <c r="B14"/>
  <c r="B12"/>
  <c r="B11"/>
  <c r="B9"/>
  <c r="B7"/>
  <c r="B5"/>
  <c r="B10" i="4"/>
  <c r="B9"/>
  <c r="B8"/>
  <c r="C14" i="7"/>
  <c r="C12"/>
  <c r="C10"/>
  <c r="C8"/>
  <c r="C6"/>
  <c r="C22" i="6"/>
  <c r="C20"/>
  <c r="C18"/>
  <c r="C16"/>
  <c r="C14"/>
  <c r="C12"/>
  <c r="C11"/>
  <c r="C9"/>
  <c r="C7"/>
  <c r="C5"/>
  <c r="C10" i="4"/>
  <c r="C9"/>
  <c r="C8"/>
  <c r="F6" i="3"/>
  <c r="H8" i="2"/>
  <c r="F7"/>
  <c r="H20"/>
  <c r="G11" l="1"/>
  <c r="H35" i="1"/>
  <c r="H31"/>
  <c r="H47"/>
  <c r="H45"/>
  <c r="G8" i="4"/>
  <c r="I8"/>
  <c r="H8"/>
  <c r="H20" i="1"/>
  <c r="H6" i="3"/>
  <c r="G6"/>
  <c r="H7" i="2"/>
  <c r="G7"/>
  <c r="H29" i="1"/>
  <c r="G29"/>
  <c r="F29"/>
  <c r="H6"/>
  <c r="G6"/>
  <c r="H9" i="4"/>
  <c r="H10"/>
  <c r="G9"/>
  <c r="G10"/>
  <c r="F20" i="2"/>
  <c r="H33" i="1"/>
  <c r="G35"/>
  <c r="I9" i="4" l="1"/>
  <c r="I10"/>
  <c r="H7" i="3"/>
  <c r="H9"/>
  <c r="H10"/>
  <c r="G7"/>
  <c r="G9"/>
  <c r="G10"/>
  <c r="F10"/>
  <c r="F9"/>
  <c r="F7"/>
  <c r="H19" i="2"/>
  <c r="H21"/>
  <c r="H25"/>
  <c r="H16"/>
  <c r="H11"/>
  <c r="H13"/>
  <c r="H14"/>
  <c r="H15"/>
  <c r="G20"/>
  <c r="G21"/>
  <c r="G25"/>
  <c r="G19"/>
  <c r="G13"/>
  <c r="G14"/>
  <c r="G15"/>
  <c r="G16"/>
  <c r="G8"/>
  <c r="F25"/>
  <c r="F24"/>
  <c r="F21"/>
  <c r="F19"/>
  <c r="F15"/>
  <c r="F16"/>
  <c r="F13"/>
  <c r="F11"/>
  <c r="F8"/>
  <c r="H48" i="1"/>
  <c r="H43"/>
  <c r="H44"/>
  <c r="H36"/>
  <c r="H37"/>
  <c r="H39"/>
  <c r="H21"/>
  <c r="H22"/>
  <c r="H10"/>
  <c r="H12"/>
  <c r="H13"/>
  <c r="H14"/>
  <c r="H15"/>
  <c r="H16"/>
  <c r="G48"/>
  <c r="G47"/>
  <c r="G43"/>
  <c r="G44"/>
  <c r="G45"/>
  <c r="G42"/>
  <c r="G31"/>
  <c r="G33"/>
  <c r="G36"/>
  <c r="G37"/>
  <c r="G39"/>
  <c r="G20"/>
  <c r="G22"/>
  <c r="G24"/>
  <c r="G8"/>
  <c r="G10"/>
  <c r="G13"/>
  <c r="G14"/>
  <c r="G16"/>
  <c r="G19"/>
  <c r="F47"/>
  <c r="F45"/>
  <c r="F44"/>
  <c r="F43"/>
  <c r="F42"/>
  <c r="F31"/>
  <c r="F33"/>
  <c r="F35"/>
  <c r="F37"/>
  <c r="F39"/>
  <c r="F19"/>
  <c r="F21"/>
  <c r="F22"/>
  <c r="F8"/>
  <c r="F10"/>
  <c r="F12"/>
  <c r="F13"/>
  <c r="F16"/>
</calcChain>
</file>

<file path=xl/sharedStrings.xml><?xml version="1.0" encoding="utf-8"?>
<sst xmlns="http://schemas.openxmlformats.org/spreadsheetml/2006/main" count="279" uniqueCount="154">
  <si>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</si>
  <si>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</si>
  <si>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</si>
  <si>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</si>
  <si>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</si>
  <si>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</si>
  <si>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</si>
  <si>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</si>
  <si>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</si>
  <si>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</si>
  <si>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</si>
  <si>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</si>
  <si>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</si>
  <si>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</si>
  <si>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</si>
  <si>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</si>
  <si>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</si>
  <si>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</si>
  <si>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</si>
  <si>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</si>
  <si>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</si>
  <si>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</si>
  <si>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</si>
  <si>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</si>
  <si>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</si>
  <si>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</si>
  <si>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</si>
  <si>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</si>
  <si>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</si>
  <si>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</si>
  <si>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</si>
  <si>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</si>
  <si>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</si>
  <si>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GHEA Grapalat"/>
        <family val="3"/>
      </rPr>
      <t xml:space="preserve"> </t>
    </r>
    <r>
      <rPr>
        <b/>
        <sz val="14"/>
        <color theme="1"/>
        <rFont val="GHEA Grapalat"/>
        <family val="3"/>
      </rPr>
      <t>ՏԵՂԵԿԱՆՔ</t>
    </r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</si>
  <si>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</si>
  <si>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</si>
  <si>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</si>
  <si>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</si>
  <si>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</si>
  <si>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</si>
  <si>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</si>
  <si>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</si>
  <si>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</si>
  <si>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</si>
  <si>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</si>
  <si>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</si>
  <si>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</si>
  <si>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</si>
  <si>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</si>
  <si>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</si>
  <si>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</si>
  <si>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</si>
  <si>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</si>
  <si>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</si>
  <si>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</si>
  <si>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</si>
  <si>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</si>
  <si>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</si>
  <si>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</si>
  <si>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</si>
  <si>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</si>
  <si>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</si>
  <si>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</si>
  <si>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ՀՀ կառավարության պարտքի մինչև մարում միջին ժամկետը, տարի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</si>
  <si>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</si>
  <si>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</si>
  <si>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</si>
  <si>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</si>
  <si>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</si>
  <si>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</si>
  <si>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</si>
  <si>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</si>
  <si>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</si>
  <si>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</si>
  <si>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</si>
  <si>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</si>
  <si>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</si>
  <si>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</si>
  <si>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</si>
  <si>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</si>
  <si>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</si>
  <si>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</si>
  <si>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</si>
  <si>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</si>
  <si>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</si>
  <si>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</si>
  <si>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</si>
  <si>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</si>
  <si>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</si>
  <si>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</si>
  <si>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</si>
  <si>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</si>
  <si>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</si>
  <si>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</si>
  <si>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</si>
  <si>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</si>
  <si>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</si>
  <si>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</si>
  <si>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</si>
  <si>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</si>
  <si>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</si>
  <si>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</si>
  <si>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</si>
  <si>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</si>
  <si>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</si>
  <si>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</si>
  <si>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</si>
  <si>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</si>
  <si>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</si>
  <si>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</si>
  <si>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</si>
  <si>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</si>
  <si>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</si>
  <si>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</si>
  <si>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</si>
  <si>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</si>
  <si>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>31.12.2017</t>
  </si>
  <si>
    <t>ուղենիշներն ըստ 2018-2020թթ. ռազմավարական ծրագրի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</si>
  <si>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</si>
  <si>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x</t>
  </si>
  <si>
    <t xml:space="preserve">             2016-2018թթ.  Հայաստանի Հանրապետության կառավարության պարտքի միջին տոկոսադրույքի վերաբերյալ </t>
  </si>
  <si>
    <t>01.05.2018 - 31.05.2018</t>
  </si>
  <si>
    <r>
      <t xml:space="preserve">                          </t>
    </r>
    <r>
      <rPr>
        <b/>
        <sz val="12"/>
        <color theme="1"/>
        <rFont val="GHEA Grapalat"/>
        <family val="3"/>
      </rPr>
      <t>2016-2018թթ. Հայաստանի Հանրապետության պետական պարտքի վերաբերյալ (հունիս ամսվա վերջի դրությամբ)</t>
    </r>
  </si>
  <si>
    <t>30.06.2018</t>
  </si>
  <si>
    <t xml:space="preserve">  2016-2018թթ.  Հայաստանի Հանրապետության կառավարության պարտքի կառուցվածքի վերաբերյալ  (հունիս ամսվա վերջի դրությամբ)</t>
  </si>
  <si>
    <t xml:space="preserve">                                                                         (հունիս ամսվա վերջի դրությամբ)</t>
  </si>
  <si>
    <t xml:space="preserve"> 2016-2018թթ. հունվար-հունիս ամիսներին Հայաստանի Հանրապետության կառավարության արտաքին վարկերի սպասարկման և արտաքին վարկային միջոցների ստացման վերաբերյալ</t>
  </si>
  <si>
    <t>01.01.2018-30.06.2018</t>
  </si>
  <si>
    <t>01.06.2018 - 30.06.2018</t>
  </si>
  <si>
    <t>2016-2018թթ. հունվար-հունիս ամիսներին պետական բյուջեի պակասուրդի ֆինանսավորումը փոխառու միջոցների հաշվին</t>
  </si>
  <si>
    <t>% (2018թ. հուվար-հունիս)</t>
  </si>
  <si>
    <t>2016-2018թթ. հուվար-հունիս ամիսներին ՀՀ պետական բյուջեից ՀՀ կառավարության պարտքի գծով վճարված տոկոսավճարներ</t>
  </si>
  <si>
    <t>2016-2018թթ. շրջանառության մեջ գտնվող ՀՀ պետական պարտատոմսերը  (հունիս ամսվա վերջի դրությամբ)</t>
  </si>
  <si>
    <t xml:space="preserve">2016-2018թթ. վարկային պայմանագրերով ձևավորված ՀՀ կառավարության արտաքին պարտքը (հունիս ամսվա վերջի դրությամբ) </t>
  </si>
  <si>
    <t>30.06.2017</t>
  </si>
  <si>
    <t>01.01.2017 - 30.06.2017</t>
  </si>
  <si>
    <t>01.01.2017-30.05.2017</t>
  </si>
  <si>
    <t>01.01.2017-30.06.2017</t>
  </si>
  <si>
    <t>30.06.2016</t>
  </si>
  <si>
    <t>01.01.2016 - 30.06.2016</t>
  </si>
  <si>
    <t>01.01.2016-30.06.2016</t>
  </si>
  <si>
    <t xml:space="preserve">30.06.2018-ը 30.06.2016-ի նկատմամբ(%) </t>
  </si>
  <si>
    <t xml:space="preserve">30.06.2018-ը 30.06.2017-ի նկատմամբ(%) </t>
  </si>
  <si>
    <t xml:space="preserve">30.06.2018-ը 31.12.2017-ի նկատմամբ(%) </t>
  </si>
  <si>
    <t xml:space="preserve">  ՀՀ կենտրոնական բանկի արտաքին պարտք</t>
  </si>
  <si>
    <t xml:space="preserve">Տեսակարար կշռի փոփոխությունը` 30.06.2018-ին 30.06.2016-ի նկատմամբ(+/-) </t>
  </si>
  <si>
    <t xml:space="preserve">Տեսակարար կշռի փոփոխությունը 30.06.2018-ին 30.06.2017-ի նկատմամբ(+/-) </t>
  </si>
  <si>
    <t xml:space="preserve">Տեսակարար կշռի փոփոխությունը 30.06.2018-ին 31.12.2017-ի նկատմամբ(+/-) </t>
  </si>
  <si>
    <t xml:space="preserve">Փոփոխությունը               30.06.2018-ին 30.06.2016-ի նկատմամբ(+/-) </t>
  </si>
  <si>
    <t xml:space="preserve">Փոփոխությունը         30.0+.2018-ին 30.06.2017-ի նկատմամբ(+/-) </t>
  </si>
  <si>
    <t xml:space="preserve">Փոփոխությունը         30.06.2018-ին 31.12.2017-ի նկատմամբ(+/-) </t>
  </si>
  <si>
    <t xml:space="preserve">Փոփոխությունը 01.01.2018 - 30.06.2018-ին 01.01.2016-30.06.2016-ի նկատմամբ(%) </t>
  </si>
  <si>
    <t xml:space="preserve">Փոփոխությունը 01.01.2018 - 30.06.2018-ին 01.01.2017 - 30.06.2017-ի նկատմամբ(%) </t>
  </si>
  <si>
    <t xml:space="preserve">Փոփոխությունը 01.06.2018 - 30.06.2018-ին 01.05.2018 - 31.05.2018-ի նկատմամբ(%) 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</si>
</sst>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#,##0.0;[Red]#,##0.0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#,##0.0_);\(#,##0.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165" fontId="6" fillId="5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9" fillId="0" borderId="1" xfId="0" applyFont="1" applyBorder="1"/>
    <xf numFmtId="0" fontId="16" fillId="0" borderId="1" xfId="3" applyFont="1" applyBorder="1" applyAlignment="1">
      <alignment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15"/>
    </xf>
    <xf numFmtId="2" fontId="9" fillId="0" borderId="1" xfId="0" applyNumberFormat="1" applyFont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2"/>
    </xf>
    <xf numFmtId="2" fontId="14" fillId="0" borderId="1" xfId="4" applyNumberFormat="1" applyFont="1" applyFill="1" applyBorder="1" applyAlignment="1">
      <alignment horizontal="center" vertical="center" wrapText="1"/>
    </xf>
    <xf numFmtId="2" fontId="22" fillId="0" borderId="1" xfId="4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3"/>
    </xf>
    <xf numFmtId="2" fontId="20" fillId="0" borderId="4" xfId="4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5"/>
    </xf>
    <xf numFmtId="0" fontId="20" fillId="0" borderId="1" xfId="3" applyFont="1" applyFill="1" applyBorder="1" applyAlignment="1">
      <alignment horizontal="left" vertical="center" wrapText="1" indent="7"/>
    </xf>
    <xf numFmtId="0" fontId="23" fillId="0" borderId="1" xfId="3" applyFont="1" applyBorder="1" applyAlignment="1">
      <alignment horizontal="left" vertical="center" indent="3"/>
    </xf>
    <xf numFmtId="0" fontId="19" fillId="0" borderId="1" xfId="3" applyFont="1" applyBorder="1" applyAlignment="1">
      <alignment horizontal="left" vertical="center" indent="11"/>
    </xf>
    <xf numFmtId="0" fontId="1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1" fillId="0" borderId="1" xfId="3" applyFont="1" applyBorder="1" applyAlignment="1">
      <alignment horizontal="left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2" fontId="20" fillId="0" borderId="1" xfId="4" applyNumberFormat="1" applyFont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2"/>
    </xf>
    <xf numFmtId="2" fontId="22" fillId="0" borderId="1" xfId="4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5"/>
    </xf>
    <xf numFmtId="0" fontId="23" fillId="0" borderId="0" xfId="3" applyFont="1" applyBorder="1" applyAlignment="1">
      <alignment vertical="center" wrapText="1"/>
    </xf>
    <xf numFmtId="0" fontId="9" fillId="0" borderId="0" xfId="0" applyFont="1" applyBorder="1"/>
    <xf numFmtId="0" fontId="19" fillId="0" borderId="1" xfId="0" applyFont="1" applyBorder="1" applyAlignment="1">
      <alignment horizontal="left" vertical="center" wrapText="1" indent="4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2"/>
    </xf>
    <xf numFmtId="0" fontId="19" fillId="0" borderId="1" xfId="0" applyFont="1" applyBorder="1" applyAlignment="1">
      <alignment horizontal="left" vertical="center" indent="4"/>
    </xf>
    <xf numFmtId="2" fontId="9" fillId="0" borderId="0" xfId="0" applyNumberFormat="1" applyFont="1" applyBorder="1"/>
    <xf numFmtId="167" fontId="0" fillId="0" borderId="0" xfId="0" applyNumberForma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/>
    <xf numFmtId="0" fontId="4" fillId="0" borderId="0" xfId="0" applyFont="1" applyAlignment="1">
      <alignment vertical="top"/>
    </xf>
    <xf numFmtId="170" fontId="9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2" fontId="18" fillId="6" borderId="1" xfId="4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166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70" fontId="2" fillId="0" borderId="1" xfId="1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8" fillId="0" borderId="1" xfId="10" applyNumberFormat="1" applyFont="1" applyFill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9" fontId="25" fillId="0" borderId="1" xfId="5" applyNumberFormat="1" applyFont="1" applyFill="1" applyBorder="1" applyAlignment="1">
      <alignment horizontal="center" vertical="center"/>
    </xf>
    <xf numFmtId="170" fontId="25" fillId="0" borderId="1" xfId="5" applyNumberFormat="1" applyFont="1" applyFill="1" applyBorder="1" applyAlignment="1">
      <alignment horizontal="center" vertical="center"/>
    </xf>
    <xf numFmtId="0" fontId="28" fillId="0" borderId="1" xfId="2" applyNumberFormat="1" applyFont="1" applyBorder="1" applyAlignment="1">
      <alignment horizontal="center" vertical="center" wrapText="1"/>
    </xf>
    <xf numFmtId="170" fontId="28" fillId="0" borderId="1" xfId="2" applyNumberFormat="1" applyFont="1" applyBorder="1" applyAlignment="1">
      <alignment horizontal="center" vertical="center" wrapText="1"/>
    </xf>
    <xf numFmtId="168" fontId="11" fillId="0" borderId="1" xfId="5" applyNumberFormat="1" applyFont="1" applyFill="1" applyBorder="1" applyAlignment="1">
      <alignment horizontal="center" vertical="center" wrapText="1"/>
    </xf>
    <xf numFmtId="2" fontId="28" fillId="0" borderId="1" xfId="7" applyNumberFormat="1" applyFont="1" applyBorder="1" applyAlignment="1">
      <alignment horizontal="center" vertical="center" wrapText="1"/>
    </xf>
    <xf numFmtId="2" fontId="28" fillId="0" borderId="1" xfId="8" applyNumberFormat="1" applyFont="1" applyBorder="1" applyAlignment="1">
      <alignment horizontal="center" vertical="center" wrapText="1"/>
    </xf>
    <xf numFmtId="2" fontId="28" fillId="0" borderId="1" xfId="9" applyNumberFormat="1" applyFont="1" applyBorder="1" applyAlignment="1">
      <alignment horizontal="center" vertical="center" wrapText="1"/>
    </xf>
    <xf numFmtId="170" fontId="28" fillId="0" borderId="1" xfId="10" applyNumberFormat="1" applyFont="1" applyBorder="1" applyAlignment="1">
      <alignment horizontal="center" vertical="center"/>
    </xf>
    <xf numFmtId="169" fontId="28" fillId="0" borderId="1" xfId="7" applyNumberFormat="1" applyFont="1" applyBorder="1" applyAlignment="1">
      <alignment horizontal="center" vertical="center" wrapText="1"/>
    </xf>
    <xf numFmtId="169" fontId="28" fillId="0" borderId="1" xfId="8" applyNumberFormat="1" applyFont="1" applyBorder="1" applyAlignment="1">
      <alignment horizontal="center" vertical="center" wrapText="1"/>
    </xf>
    <xf numFmtId="169" fontId="28" fillId="0" borderId="1" xfId="9" applyNumberFormat="1" applyFont="1" applyBorder="1" applyAlignment="1">
      <alignment horizontal="center" vertical="center" wrapText="1"/>
    </xf>
    <xf numFmtId="170" fontId="28" fillId="0" borderId="1" xfId="6" applyNumberFormat="1" applyFont="1" applyBorder="1" applyAlignment="1">
      <alignment horizontal="center" vertical="center"/>
    </xf>
    <xf numFmtId="1" fontId="28" fillId="7" borderId="1" xfId="5" applyNumberFormat="1" applyFont="1" applyFill="1" applyBorder="1" applyAlignment="1">
      <alignment horizontal="center" vertical="center" wrapText="1"/>
    </xf>
    <xf numFmtId="171" fontId="28" fillId="6" borderId="1" xfId="1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26" fillId="4" borderId="1" xfId="10" applyNumberFormat="1" applyFont="1" applyFill="1" applyBorder="1" applyAlignment="1">
      <alignment horizontal="center" vertical="center" wrapText="1"/>
    </xf>
    <xf numFmtId="43" fontId="26" fillId="5" borderId="1" xfId="10" applyNumberFormat="1" applyFont="1" applyFill="1" applyBorder="1" applyAlignment="1">
      <alignment horizontal="center" vertical="center" wrapText="1"/>
    </xf>
    <xf numFmtId="43" fontId="27" fillId="2" borderId="1" xfId="10" applyNumberFormat="1" applyFont="1" applyFill="1" applyBorder="1" applyAlignment="1">
      <alignment horizontal="center" vertical="center" wrapText="1"/>
    </xf>
    <xf numFmtId="43" fontId="28" fillId="0" borderId="1" xfId="10" applyNumberFormat="1" applyFont="1" applyFill="1" applyBorder="1" applyAlignment="1">
      <alignment horizontal="center" vertical="center" wrapText="1"/>
    </xf>
    <xf numFmtId="166" fontId="26" fillId="5" borderId="1" xfId="10" applyNumberFormat="1" applyFont="1" applyFill="1" applyBorder="1" applyAlignment="1">
      <alignment horizontal="center" vertical="center" wrapText="1"/>
    </xf>
    <xf numFmtId="166" fontId="28" fillId="0" borderId="1" xfId="10" applyNumberFormat="1" applyFont="1" applyFill="1" applyBorder="1" applyAlignment="1">
      <alignment horizontal="center" vertical="center" wrapText="1"/>
    </xf>
    <xf numFmtId="170" fontId="29" fillId="0" borderId="1" xfId="10" applyNumberFormat="1" applyFont="1" applyFill="1" applyBorder="1" applyAlignment="1">
      <alignment horizontal="center" vertical="center" wrapText="1"/>
    </xf>
    <xf numFmtId="170" fontId="26" fillId="0" borderId="1" xfId="10" applyNumberFormat="1" applyFont="1" applyFill="1" applyBorder="1" applyAlignment="1">
      <alignment horizontal="center" vertical="center" wrapText="1"/>
    </xf>
    <xf numFmtId="164" fontId="28" fillId="0" borderId="1" xfId="1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11" fillId="0" borderId="1" xfId="10" applyNumberFormat="1" applyFont="1" applyFill="1" applyBorder="1" applyAlignment="1">
      <alignment horizontal="center" vertical="center" wrapText="1"/>
    </xf>
    <xf numFmtId="166" fontId="27" fillId="2" borderId="1" xfId="10" applyNumberFormat="1" applyFont="1" applyFill="1" applyBorder="1" applyAlignment="1">
      <alignment horizontal="center" vertical="center" wrapText="1"/>
    </xf>
    <xf numFmtId="166" fontId="26" fillId="4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11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7" fillId="3" borderId="1" xfId="1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6" borderId="1" xfId="0" applyNumberFormat="1" applyFont="1" applyFill="1" applyBorder="1" applyAlignment="1">
      <alignment horizontal="center" vertical="center" wrapText="1"/>
    </xf>
    <xf numFmtId="43" fontId="28" fillId="0" borderId="1" xfId="4" applyNumberFormat="1" applyFont="1" applyFill="1" applyBorder="1" applyAlignment="1">
      <alignment horizontal="center" vertical="center" wrapText="1"/>
    </xf>
    <xf numFmtId="43" fontId="28" fillId="0" borderId="1" xfId="5" applyNumberFormat="1" applyFont="1" applyBorder="1" applyAlignment="1">
      <alignment horizontal="center" vertical="center" wrapText="1"/>
    </xf>
    <xf numFmtId="43" fontId="28" fillId="0" borderId="1" xfId="4" applyNumberFormat="1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3" fontId="28" fillId="0" borderId="1" xfId="10" applyNumberFormat="1" applyFont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70" fontId="13" fillId="0" borderId="1" xfId="0" applyNumberFormat="1" applyFont="1" applyBorder="1" applyAlignment="1">
      <alignment horizontal="center" vertical="center" wrapText="1"/>
    </xf>
    <xf numFmtId="170" fontId="13" fillId="6" borderId="1" xfId="0" applyNumberFormat="1" applyFont="1" applyFill="1" applyBorder="1" applyAlignment="1">
      <alignment horizontal="center" vertical="center" wrapText="1"/>
    </xf>
    <xf numFmtId="170" fontId="20" fillId="0" borderId="1" xfId="10" applyNumberFormat="1" applyFont="1" applyFill="1" applyBorder="1" applyAlignment="1">
      <alignment horizontal="center" vertical="center" wrapText="1"/>
    </xf>
    <xf numFmtId="170" fontId="22" fillId="0" borderId="1" xfId="10" applyNumberFormat="1" applyFont="1" applyFill="1" applyBorder="1" applyAlignment="1">
      <alignment horizontal="center" vertical="center" wrapText="1"/>
    </xf>
    <xf numFmtId="170" fontId="13" fillId="0" borderId="1" xfId="10" applyNumberFormat="1" applyFont="1" applyBorder="1" applyAlignment="1">
      <alignment horizontal="center" vertical="center" wrapText="1"/>
    </xf>
    <xf numFmtId="170" fontId="23" fillId="0" borderId="1" xfId="10" applyNumberFormat="1" applyFont="1" applyBorder="1" applyAlignment="1">
      <alignment horizontal="center" vertical="center" wrapText="1"/>
    </xf>
    <xf numFmtId="2" fontId="22" fillId="0" borderId="3" xfId="4" applyNumberFormat="1" applyFont="1" applyFill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 wrapText="1" shrinkToFit="1"/>
    </xf>
    <xf numFmtId="2" fontId="18" fillId="0" borderId="0" xfId="4" applyNumberFormat="1" applyFont="1" applyAlignment="1">
      <alignment horizontal="center" vertical="center" wrapText="1"/>
    </xf>
    <xf numFmtId="2" fontId="18" fillId="0" borderId="5" xfId="4" applyNumberFormat="1" applyFont="1" applyFill="1" applyBorder="1" applyAlignment="1">
      <alignment horizontal="center" vertical="center" wrapText="1"/>
    </xf>
    <xf numFmtId="2" fontId="14" fillId="0" borderId="3" xfId="4" applyNumberFormat="1" applyFont="1" applyFill="1" applyBorder="1" applyAlignment="1">
      <alignment horizontal="center" vertical="center" wrapText="1"/>
    </xf>
    <xf numFmtId="2" fontId="14" fillId="0" borderId="3" xfId="5" applyNumberFormat="1" applyFont="1" applyFill="1" applyBorder="1" applyAlignment="1">
      <alignment horizontal="center" vertical="center" wrapText="1"/>
    </xf>
    <xf numFmtId="2" fontId="20" fillId="0" borderId="3" xfId="4" applyNumberFormat="1" applyFont="1" applyFill="1" applyBorder="1" applyAlignment="1">
      <alignment horizontal="center" vertical="center" wrapText="1"/>
    </xf>
    <xf numFmtId="2" fontId="22" fillId="0" borderId="1" xfId="2" applyNumberFormat="1" applyFont="1" applyBorder="1" applyAlignment="1">
      <alignment horizontal="center" vertical="center" wrapText="1"/>
    </xf>
    <xf numFmtId="2" fontId="20" fillId="0" borderId="1" xfId="5" applyNumberFormat="1" applyFont="1" applyFill="1" applyBorder="1" applyAlignment="1">
      <alignment horizontal="center" vertical="center" wrapText="1"/>
    </xf>
    <xf numFmtId="170" fontId="20" fillId="0" borderId="1" xfId="16" applyNumberFormat="1" applyFont="1" applyBorder="1" applyAlignment="1">
      <alignment horizontal="center" vertical="center" wrapText="1"/>
    </xf>
    <xf numFmtId="170" fontId="20" fillId="0" borderId="1" xfId="15" applyNumberFormat="1" applyFont="1" applyBorder="1" applyAlignment="1">
      <alignment horizontal="center" vertical="center" wrapText="1"/>
    </xf>
    <xf numFmtId="170" fontId="20" fillId="0" borderId="1" xfId="18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20" fillId="0" borderId="1" xfId="26" applyNumberFormat="1" applyFont="1" applyBorder="1" applyAlignment="1">
      <alignment horizontal="center" vertical="center" wrapText="1"/>
    </xf>
    <xf numFmtId="170" fontId="20" fillId="0" borderId="1" xfId="25" applyNumberFormat="1" applyFont="1" applyBorder="1" applyAlignment="1">
      <alignment horizontal="center" vertical="center" wrapText="1"/>
    </xf>
    <xf numFmtId="170" fontId="14" fillId="0" borderId="1" xfId="1" applyNumberFormat="1" applyFont="1" applyBorder="1" applyAlignment="1">
      <alignment horizontal="center" vertical="center" wrapText="1"/>
    </xf>
    <xf numFmtId="170" fontId="14" fillId="0" borderId="1" xfId="10" applyNumberFormat="1" applyFont="1" applyBorder="1" applyAlignment="1">
      <alignment horizontal="center" vertical="center" wrapText="1"/>
    </xf>
    <xf numFmtId="172" fontId="25" fillId="0" borderId="1" xfId="5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 applyAlignment="1"/>
    <xf numFmtId="4" fontId="2" fillId="0" borderId="3" xfId="0" applyNumberFormat="1" applyFont="1" applyBorder="1" applyAlignment="1"/>
    <xf numFmtId="4" fontId="2" fillId="0" borderId="7" xfId="0" applyNumberFormat="1" applyFont="1" applyBorder="1" applyAlignment="1"/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Downloads/8d437cfe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Downloads/2017_amsakan_vijakagrakan_texekagir_am%20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Պետական պարտք"/>
      <sheetName val="Պակասուրդի ֆինանսավորում"/>
      <sheetName val="Կառ.պարտքի կառուցվածք"/>
      <sheetName val="Գանձապետական պարտատոմսեր"/>
      <sheetName val="Կառ. արտաքին վարկեր"/>
      <sheetName val="Արտարժութային պարտատոմսեր"/>
      <sheetName val="ԿԲ արտաքին պարտք"/>
      <sheetName val="Ենթավարկեր"/>
    </sheetNames>
    <sheetDataSet>
      <sheetData sheetId="0"/>
      <sheetData sheetId="1">
        <row r="6">
          <cell r="I6">
            <v>18.082656733245194</v>
          </cell>
        </row>
        <row r="8">
          <cell r="I8">
            <v>11.966980194199994</v>
          </cell>
        </row>
        <row r="10">
          <cell r="I10">
            <v>11.966980194199994</v>
          </cell>
        </row>
        <row r="12">
          <cell r="I12">
            <v>17.679034399199995</v>
          </cell>
        </row>
        <row r="13">
          <cell r="I13">
            <v>-5.7120542050000003</v>
          </cell>
        </row>
        <row r="15">
          <cell r="I15">
            <v>6.1156765390452001</v>
          </cell>
        </row>
        <row r="17">
          <cell r="I17">
            <v>6.1156765390452001</v>
          </cell>
        </row>
        <row r="19">
          <cell r="I19">
            <v>11.13041081269</v>
          </cell>
        </row>
        <row r="21">
          <cell r="I21">
            <v>10.977140812690001</v>
          </cell>
        </row>
        <row r="23">
          <cell r="I23">
            <v>-5.0147342736448</v>
          </cell>
        </row>
        <row r="38">
          <cell r="I38">
            <v>2.4280149418145998</v>
          </cell>
        </row>
        <row r="40">
          <cell r="I40">
            <v>1.0385048250000001E-2</v>
          </cell>
        </row>
        <row r="42">
          <cell r="I42">
            <v>1.0385048250000001E-2</v>
          </cell>
        </row>
        <row r="44">
          <cell r="I44">
            <v>2.4176298935645999</v>
          </cell>
        </row>
        <row r="46">
          <cell r="I46">
            <v>2.4176298935645999</v>
          </cell>
        </row>
        <row r="47">
          <cell r="I47">
            <v>0</v>
          </cell>
        </row>
      </sheetData>
      <sheetData sheetId="2"/>
      <sheetData sheetId="3"/>
      <sheetData sheetId="4">
        <row r="59">
          <cell r="G59">
            <v>5.1069494799999999</v>
          </cell>
        </row>
        <row r="60">
          <cell r="G60">
            <v>10.5671552</v>
          </cell>
        </row>
        <row r="61">
          <cell r="G61">
            <v>23.307294220999999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Պետական պարտք"/>
      <sheetName val="Պակասուրդի ֆինանսավորում"/>
      <sheetName val="Կառավարության պարտքի կառուցվածք"/>
      <sheetName val="Գանձապ. պարտատոմսերի կառուցվածք"/>
      <sheetName val="Գանձապետական պարտատոմսեր"/>
      <sheetName val="Կառավարության արտաքին վարկեր"/>
      <sheetName val="Արտարժութային պարտատոմսեր"/>
      <sheetName val="ԿԲ արտաքին պարտք"/>
      <sheetName val="Ենթավարկեր"/>
      <sheetName val="Sheet1"/>
    </sheetNames>
    <sheetDataSet>
      <sheetData sheetId="0"/>
      <sheetData sheetId="1">
        <row r="6">
          <cell r="I6">
            <v>9.9287392288752034</v>
          </cell>
        </row>
        <row r="8">
          <cell r="I8">
            <v>12.354801721900003</v>
          </cell>
        </row>
        <row r="10">
          <cell r="I10">
            <v>12.354801721900003</v>
          </cell>
        </row>
        <row r="12">
          <cell r="I12">
            <v>33.646816098900004</v>
          </cell>
        </row>
        <row r="13">
          <cell r="I13">
            <v>-21.292014377000001</v>
          </cell>
        </row>
        <row r="15">
          <cell r="I15">
            <v>-2.4260624930247991</v>
          </cell>
        </row>
        <row r="17">
          <cell r="I17">
            <v>-2.4260624930247991</v>
          </cell>
        </row>
        <row r="19">
          <cell r="I19">
            <v>3.7703158792760001</v>
          </cell>
        </row>
        <row r="21">
          <cell r="I21">
            <v>3.7703158792760001</v>
          </cell>
        </row>
        <row r="23">
          <cell r="I23">
            <v>-6.1963783723007992</v>
          </cell>
        </row>
        <row r="33">
          <cell r="I33">
            <v>3.5064071315562</v>
          </cell>
        </row>
        <row r="35">
          <cell r="I35">
            <v>1.0888313517499999</v>
          </cell>
        </row>
        <row r="39">
          <cell r="I39">
            <v>2.4175757798062003</v>
          </cell>
        </row>
        <row r="41">
          <cell r="I41">
            <v>2.4175757798062003</v>
          </cell>
        </row>
      </sheetData>
      <sheetData sheetId="2"/>
      <sheetData sheetId="3"/>
      <sheetData sheetId="4"/>
      <sheetData sheetId="5">
        <row r="59">
          <cell r="H59">
            <v>5.0838125229999998</v>
          </cell>
        </row>
        <row r="60">
          <cell r="H60">
            <v>12.970414160000001</v>
          </cell>
        </row>
        <row r="61">
          <cell r="H61">
            <v>7.8323150190000002</v>
          </cell>
        </row>
      </sheetData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Layout" workbookViewId="0">
      <selection activeCell="B45" sqref="B45:E45"/>
    </sheetView>
  </sheetViews>
  <sheetFormatPr defaultRowHeight="15"/>
  <cols>
    <col min="1" max="1" width="55.85546875" customWidth="1"/>
    <col min="2" max="2" width="12" customWidth="1"/>
    <col min="3" max="3" width="11.85546875" style="18" customWidth="1"/>
    <col min="4" max="4" width="12.140625" style="29" customWidth="1"/>
    <col min="5" max="5" width="11.85546875" style="29" customWidth="1"/>
    <col min="6" max="6" width="13" style="6" customWidth="1"/>
    <col min="7" max="7" width="13" customWidth="1"/>
    <col min="8" max="8" width="12" customWidth="1"/>
  </cols>
  <sheetData>
    <row r="1" spans="1:8" s="6" customFormat="1" ht="20.25">
      <c r="A1" s="87" t="s">
        <v>33</v>
      </c>
      <c r="B1" s="87"/>
      <c r="C1" s="87"/>
      <c r="D1" s="87"/>
      <c r="E1" s="87"/>
      <c r="F1" s="87"/>
      <c r="G1" s="87"/>
      <c r="H1" s="87"/>
    </row>
    <row r="2" spans="1:8" s="6" customFormat="1" ht="27" customHeight="1">
      <c r="A2" s="186" t="s">
        <v>122</v>
      </c>
      <c r="B2" s="186"/>
      <c r="C2" s="186"/>
      <c r="D2" s="186"/>
      <c r="E2" s="186"/>
      <c r="F2" s="186"/>
      <c r="G2" s="186"/>
      <c r="H2" s="186"/>
    </row>
    <row r="3" spans="1:8" s="6" customFormat="1" ht="14.25" customHeight="1">
      <c r="A3" s="87"/>
      <c r="B3" s="87"/>
      <c r="C3" s="89" t="s">
        <v>70</v>
      </c>
      <c r="D3" s="87"/>
      <c r="E3" s="87"/>
      <c r="F3" s="87"/>
      <c r="G3" s="87"/>
      <c r="H3" s="87"/>
    </row>
    <row r="4" spans="1:8" ht="3.75" customHeight="1">
      <c r="A4" s="188" t="s">
        <v>50</v>
      </c>
      <c r="B4" s="188"/>
      <c r="C4" s="17"/>
      <c r="D4" s="77"/>
      <c r="E4" s="77"/>
      <c r="F4" s="11"/>
      <c r="G4" s="10"/>
      <c r="H4" s="10"/>
    </row>
    <row r="5" spans="1:8" ht="76.5" customHeight="1">
      <c r="A5" s="2"/>
      <c r="B5" s="7" t="s">
        <v>138</v>
      </c>
      <c r="C5" s="7" t="s">
        <v>134</v>
      </c>
      <c r="D5" s="7" t="s">
        <v>116</v>
      </c>
      <c r="E5" s="7" t="s">
        <v>123</v>
      </c>
      <c r="F5" s="23" t="s">
        <v>141</v>
      </c>
      <c r="G5" s="23" t="s">
        <v>142</v>
      </c>
      <c r="H5" s="23" t="s">
        <v>143</v>
      </c>
    </row>
    <row r="6" spans="1:8" ht="16.5">
      <c r="A6" s="20" t="s">
        <v>27</v>
      </c>
      <c r="B6" s="118">
        <v>2546.0884035164831</v>
      </c>
      <c r="C6" s="118">
        <v>2951.8678527001489</v>
      </c>
      <c r="D6" s="94">
        <v>3279.5859263171801</v>
      </c>
      <c r="E6" s="94">
        <v>3233.0528943024601</v>
      </c>
      <c r="F6" s="95">
        <f>E6/B6*100</f>
        <v>126.98117197490819</v>
      </c>
      <c r="G6" s="95">
        <f>E6/C6*100</f>
        <v>109.52566495634635</v>
      </c>
      <c r="H6" s="95">
        <f>E6/D6*100</f>
        <v>98.581130878709004</v>
      </c>
    </row>
    <row r="7" spans="1:8" ht="16.5">
      <c r="A7" s="191" t="s">
        <v>26</v>
      </c>
      <c r="B7" s="191"/>
      <c r="C7" s="191"/>
      <c r="D7" s="191"/>
      <c r="E7" s="191"/>
      <c r="F7" s="191"/>
      <c r="G7" s="191"/>
      <c r="H7" s="191"/>
    </row>
    <row r="8" spans="1:8" ht="16.5" customHeight="1">
      <c r="A8" s="8" t="s">
        <v>29</v>
      </c>
      <c r="B8" s="120">
        <v>2309.2928057214021</v>
      </c>
      <c r="C8" s="120">
        <v>2682.7521349543167</v>
      </c>
      <c r="D8" s="96">
        <v>2988.3796274422398</v>
      </c>
      <c r="E8" s="96">
        <v>2958.1438546825502</v>
      </c>
      <c r="F8" s="97">
        <f t="shared" ref="F8:F22" si="0">E8/B8*100</f>
        <v>128.09739186618444</v>
      </c>
      <c r="G8" s="97">
        <f t="shared" ref="G8:G24" si="1">E8/C8*100</f>
        <v>110.26526886849064</v>
      </c>
      <c r="H8" s="97">
        <f>E8/D8*100</f>
        <v>98.988221828243141</v>
      </c>
    </row>
    <row r="9" spans="1:8" ht="17.25" customHeight="1">
      <c r="A9" s="190" t="s">
        <v>3</v>
      </c>
      <c r="B9" s="190"/>
      <c r="C9" s="190"/>
      <c r="D9" s="190"/>
      <c r="E9" s="190"/>
      <c r="F9" s="190"/>
      <c r="G9" s="190"/>
      <c r="H9" s="190"/>
    </row>
    <row r="10" spans="1:8" ht="16.5">
      <c r="A10" s="24" t="s">
        <v>2</v>
      </c>
      <c r="B10" s="119">
        <v>1892.583272514662</v>
      </c>
      <c r="C10" s="119">
        <v>2106.6063117043168</v>
      </c>
      <c r="D10" s="88">
        <v>2368.8772739422402</v>
      </c>
      <c r="E10" s="88">
        <v>2352.91338268255</v>
      </c>
      <c r="F10" s="88">
        <f t="shared" si="0"/>
        <v>124.32284575548694</v>
      </c>
      <c r="G10" s="88">
        <f t="shared" si="1"/>
        <v>111.69212631756345</v>
      </c>
      <c r="H10" s="88">
        <f t="shared" ref="H10:H16" si="2">E10/D10*100</f>
        <v>99.326098847108142</v>
      </c>
    </row>
    <row r="11" spans="1:8" ht="16.5">
      <c r="A11" s="190" t="s">
        <v>1</v>
      </c>
      <c r="B11" s="190"/>
      <c r="C11" s="190"/>
      <c r="D11" s="190"/>
      <c r="E11" s="190"/>
      <c r="F11" s="190"/>
      <c r="G11" s="190"/>
      <c r="H11" s="190"/>
    </row>
    <row r="12" spans="1:8" ht="18.75" customHeight="1">
      <c r="A12" s="116" t="s">
        <v>45</v>
      </c>
      <c r="B12" s="121">
        <v>1453.3034435946618</v>
      </c>
      <c r="C12" s="121">
        <v>1675.0791757743166</v>
      </c>
      <c r="D12" s="100">
        <v>1946.57736167555</v>
      </c>
      <c r="E12" s="100">
        <v>1927.9177004007399</v>
      </c>
      <c r="F12" s="86">
        <f t="shared" si="0"/>
        <v>132.6576159230826</v>
      </c>
      <c r="G12" s="86">
        <f>E12/C12*100</f>
        <v>115.09412380519548</v>
      </c>
      <c r="H12" s="86">
        <f t="shared" si="2"/>
        <v>99.041411780380074</v>
      </c>
    </row>
    <row r="13" spans="1:8" ht="33.75" customHeight="1">
      <c r="A13" s="116" t="s">
        <v>48</v>
      </c>
      <c r="B13" s="123">
        <v>1.5687599999999999</v>
      </c>
      <c r="C13" s="123">
        <v>7.8745290000000008</v>
      </c>
      <c r="D13" s="90">
        <v>9.6807289999999995</v>
      </c>
      <c r="E13" s="90">
        <v>8.3875790000000006</v>
      </c>
      <c r="F13" s="86">
        <f t="shared" si="0"/>
        <v>534.66298222800174</v>
      </c>
      <c r="G13" s="86">
        <f t="shared" si="1"/>
        <v>106.5153103125279</v>
      </c>
      <c r="H13" s="86">
        <f t="shared" si="2"/>
        <v>86.642018385185665</v>
      </c>
    </row>
    <row r="14" spans="1:8" ht="34.5" customHeight="1">
      <c r="A14" s="116" t="s">
        <v>47</v>
      </c>
      <c r="B14" s="123">
        <v>437.71106892</v>
      </c>
      <c r="C14" s="123">
        <v>422.02034343000003</v>
      </c>
      <c r="D14" s="90">
        <v>409.03884269999998</v>
      </c>
      <c r="E14" s="90">
        <v>412.67543327999999</v>
      </c>
      <c r="F14" s="86">
        <f>E14/B14*100</f>
        <v>94.280328413496036</v>
      </c>
      <c r="G14" s="86">
        <f t="shared" si="1"/>
        <v>97.785673061623385</v>
      </c>
      <c r="H14" s="86">
        <f t="shared" si="2"/>
        <v>100.88905751737303</v>
      </c>
    </row>
    <row r="15" spans="1:8" ht="16.5">
      <c r="A15" s="116" t="s">
        <v>46</v>
      </c>
      <c r="B15" s="121">
        <v>0</v>
      </c>
      <c r="C15" s="121">
        <v>1.6322635000000001</v>
      </c>
      <c r="D15" s="82">
        <v>3.5803405666849999</v>
      </c>
      <c r="E15" s="82">
        <v>3.9326700018144001</v>
      </c>
      <c r="F15" s="82" t="s">
        <v>24</v>
      </c>
      <c r="G15" s="82" t="s">
        <v>24</v>
      </c>
      <c r="H15" s="86">
        <f t="shared" si="2"/>
        <v>109.84066818692666</v>
      </c>
    </row>
    <row r="16" spans="1:8" ht="16.5">
      <c r="A16" s="24" t="s">
        <v>6</v>
      </c>
      <c r="B16" s="122">
        <v>416.70953320674005</v>
      </c>
      <c r="C16" s="122">
        <v>576.14582325000003</v>
      </c>
      <c r="D16" s="99">
        <v>619.50235350000003</v>
      </c>
      <c r="E16" s="99">
        <v>605.23047199999996</v>
      </c>
      <c r="F16" s="99">
        <f t="shared" si="0"/>
        <v>145.24037099475956</v>
      </c>
      <c r="G16" s="99">
        <f t="shared" si="1"/>
        <v>105.04814017151689</v>
      </c>
      <c r="H16" s="99">
        <f t="shared" si="2"/>
        <v>97.696234498647456</v>
      </c>
    </row>
    <row r="17" spans="1:8" ht="16.5">
      <c r="A17" s="190" t="s">
        <v>1</v>
      </c>
      <c r="B17" s="190"/>
      <c r="C17" s="190"/>
      <c r="D17" s="190"/>
      <c r="E17" s="190"/>
      <c r="F17" s="190"/>
      <c r="G17" s="190"/>
      <c r="H17" s="190"/>
    </row>
    <row r="18" spans="1:8" ht="21" customHeight="1">
      <c r="A18" s="116" t="s">
        <v>45</v>
      </c>
      <c r="B18" s="90" t="s">
        <v>24</v>
      </c>
      <c r="C18" s="90" t="s">
        <v>24</v>
      </c>
      <c r="D18" s="90" t="s">
        <v>24</v>
      </c>
      <c r="E18" s="90" t="s">
        <v>24</v>
      </c>
      <c r="F18" s="90" t="s">
        <v>24</v>
      </c>
      <c r="G18" s="90" t="s">
        <v>24</v>
      </c>
      <c r="H18" s="90" t="s">
        <v>24</v>
      </c>
    </row>
    <row r="19" spans="1:8" ht="36.75" customHeight="1">
      <c r="A19" s="116" t="s">
        <v>44</v>
      </c>
      <c r="B19" s="98">
        <v>373.80450000000002</v>
      </c>
      <c r="C19" s="98">
        <v>513.11534700000004</v>
      </c>
      <c r="D19" s="82">
        <v>540.049441</v>
      </c>
      <c r="E19" s="82">
        <v>531.29102399999999</v>
      </c>
      <c r="F19" s="86">
        <f t="shared" si="0"/>
        <v>142.13071913259469</v>
      </c>
      <c r="G19" s="86">
        <f t="shared" si="1"/>
        <v>103.5422204980355</v>
      </c>
      <c r="H19" s="82">
        <f>E19/D19*100</f>
        <v>98.378219411951946</v>
      </c>
    </row>
    <row r="20" spans="1:8" ht="36" customHeight="1">
      <c r="A20" s="116" t="s">
        <v>42</v>
      </c>
      <c r="B20" s="124">
        <v>38.653226839999995</v>
      </c>
      <c r="C20" s="124">
        <v>58.704266250000003</v>
      </c>
      <c r="D20" s="82">
        <v>75.096012500000001</v>
      </c>
      <c r="E20" s="82">
        <v>69.599288000000001</v>
      </c>
      <c r="F20" s="86">
        <f>E20/B20*100</f>
        <v>180.06074444469334</v>
      </c>
      <c r="G20" s="86">
        <f>E20/C20*100</f>
        <v>118.55916519525529</v>
      </c>
      <c r="H20" s="82">
        <f>E20/D20*100</f>
        <v>92.680404302425515</v>
      </c>
    </row>
    <row r="21" spans="1:8" ht="16.5">
      <c r="A21" s="116" t="s">
        <v>43</v>
      </c>
      <c r="B21" s="98">
        <v>4.2518063667400003</v>
      </c>
      <c r="C21" s="98">
        <v>4.3262099999999997</v>
      </c>
      <c r="D21" s="82">
        <v>4.3569000000000004</v>
      </c>
      <c r="E21" s="82">
        <v>4.34016</v>
      </c>
      <c r="F21" s="86">
        <f t="shared" si="0"/>
        <v>102.07802579983772</v>
      </c>
      <c r="G21" s="86">
        <f>E21/C21*100</f>
        <v>100.32245314027752</v>
      </c>
      <c r="H21" s="82">
        <f t="shared" ref="H21:H22" si="3">E21/D21*100</f>
        <v>99.615781863251385</v>
      </c>
    </row>
    <row r="22" spans="1:8" ht="19.5" customHeight="1">
      <c r="A22" s="24" t="s">
        <v>28</v>
      </c>
      <c r="B22" s="125">
        <v>236.79559779508094</v>
      </c>
      <c r="C22" s="125">
        <v>269.11571774583223</v>
      </c>
      <c r="D22" s="99">
        <v>291.206298874943</v>
      </c>
      <c r="E22" s="99">
        <v>274.90903961991398</v>
      </c>
      <c r="F22" s="99">
        <f t="shared" si="0"/>
        <v>116.09550269503566</v>
      </c>
      <c r="G22" s="99">
        <f t="shared" si="1"/>
        <v>102.15272520037395</v>
      </c>
      <c r="H22" s="99">
        <f t="shared" si="3"/>
        <v>94.403534773117045</v>
      </c>
    </row>
    <row r="23" spans="1:8" ht="16.5">
      <c r="A23" s="190" t="s">
        <v>30</v>
      </c>
      <c r="B23" s="190"/>
      <c r="C23" s="190"/>
      <c r="D23" s="190"/>
      <c r="E23" s="190"/>
      <c r="F23" s="190"/>
      <c r="G23" s="190"/>
      <c r="H23" s="190"/>
    </row>
    <row r="24" spans="1:8" ht="31.5" customHeight="1">
      <c r="A24" s="5" t="s">
        <v>41</v>
      </c>
      <c r="B24" s="126">
        <v>68.645693303661346</v>
      </c>
      <c r="C24" s="126">
        <v>75.232350278331609</v>
      </c>
      <c r="D24" s="86">
        <v>76.718072817119307</v>
      </c>
      <c r="E24" s="86">
        <v>70.548699210422399</v>
      </c>
      <c r="F24" s="86">
        <f>E24/B24*100</f>
        <v>102.77221456318158</v>
      </c>
      <c r="G24" s="86">
        <f t="shared" si="1"/>
        <v>93.774418783167818</v>
      </c>
      <c r="H24" s="86">
        <f>E24/D24*100</f>
        <v>91.958382972675196</v>
      </c>
    </row>
    <row r="25" spans="1:8" ht="28.5" customHeight="1">
      <c r="A25" s="189" t="s">
        <v>4</v>
      </c>
      <c r="B25" s="189"/>
      <c r="C25" s="189"/>
      <c r="D25" s="189"/>
      <c r="E25" s="189"/>
      <c r="F25" s="189"/>
      <c r="G25" s="189"/>
      <c r="H25" s="189"/>
    </row>
    <row r="27" spans="1:8" ht="16.5">
      <c r="A27" s="79" t="s">
        <v>54</v>
      </c>
      <c r="B27" s="79"/>
      <c r="C27" s="29"/>
      <c r="F27" s="29"/>
      <c r="G27" s="29"/>
      <c r="H27" s="29"/>
    </row>
    <row r="28" spans="1:8" ht="86.25" customHeight="1">
      <c r="A28" s="2"/>
      <c r="B28" s="7" t="s">
        <v>138</v>
      </c>
      <c r="C28" s="7" t="s">
        <v>134</v>
      </c>
      <c r="D28" s="7" t="s">
        <v>116</v>
      </c>
      <c r="E28" s="7" t="s">
        <v>123</v>
      </c>
      <c r="F28" s="23" t="s">
        <v>141</v>
      </c>
      <c r="G28" s="23" t="s">
        <v>142</v>
      </c>
      <c r="H28" s="23" t="s">
        <v>143</v>
      </c>
    </row>
    <row r="29" spans="1:8" ht="16.5">
      <c r="A29" s="127" t="s">
        <v>27</v>
      </c>
      <c r="B29" s="142">
        <v>5345.2194980716786</v>
      </c>
      <c r="C29" s="142">
        <v>6140.897153467201</v>
      </c>
      <c r="D29" s="128">
        <v>6774.60426836848</v>
      </c>
      <c r="E29" s="128">
        <v>6704.2404078932996</v>
      </c>
      <c r="F29" s="95">
        <f>E29/B29*100</f>
        <v>125.42497853103873</v>
      </c>
      <c r="G29" s="95">
        <f>E29/C29*100</f>
        <v>109.17363115433436</v>
      </c>
      <c r="H29" s="95">
        <f>E29/D29*100</f>
        <v>98.961358365923772</v>
      </c>
    </row>
    <row r="30" spans="1:8" s="27" customFormat="1" ht="16.5">
      <c r="A30" s="195" t="s">
        <v>26</v>
      </c>
      <c r="B30" s="196"/>
      <c r="C30" s="196"/>
      <c r="D30" s="196"/>
      <c r="E30" s="196"/>
      <c r="F30" s="196"/>
      <c r="G30" s="196"/>
      <c r="H30" s="197"/>
    </row>
    <row r="31" spans="1:8" ht="16.5">
      <c r="A31" s="129" t="s">
        <v>0</v>
      </c>
      <c r="B31" s="141">
        <v>4848.0944003556397</v>
      </c>
      <c r="C31" s="141">
        <v>5581.044196788609</v>
      </c>
      <c r="D31" s="96">
        <v>6173.0626470610196</v>
      </c>
      <c r="E31" s="96">
        <v>6134.1735540032996</v>
      </c>
      <c r="F31" s="97">
        <f t="shared" ref="F31:F39" si="4">E31/B31*100</f>
        <v>126.52751880312638</v>
      </c>
      <c r="G31" s="97">
        <f t="shared" ref="G31:G39" si="5">E31/C31*100</f>
        <v>109.91085785582861</v>
      </c>
      <c r="H31" s="97">
        <f>E31/D31*100</f>
        <v>99.370019465520329</v>
      </c>
    </row>
    <row r="32" spans="1:8" s="26" customFormat="1" ht="16.5">
      <c r="A32" s="130" t="s">
        <v>51</v>
      </c>
      <c r="B32" s="139"/>
      <c r="C32" s="123"/>
      <c r="D32" s="131"/>
      <c r="E32" s="131"/>
      <c r="F32" s="132"/>
      <c r="G32" s="132"/>
      <c r="H32" s="132"/>
    </row>
    <row r="33" spans="1:8" ht="16.5">
      <c r="A33" s="133" t="s">
        <v>2</v>
      </c>
      <c r="B33" s="122">
        <v>3973.26070689367</v>
      </c>
      <c r="C33" s="122">
        <v>4382.4633583064269</v>
      </c>
      <c r="D33" s="134">
        <v>4893.3635074204503</v>
      </c>
      <c r="E33" s="134">
        <v>4879.1335904996504</v>
      </c>
      <c r="F33" s="135">
        <f t="shared" si="4"/>
        <v>122.79923091968963</v>
      </c>
      <c r="G33" s="135">
        <f t="shared" si="5"/>
        <v>111.33312914646156</v>
      </c>
      <c r="H33" s="135">
        <f>E33/D33*100</f>
        <v>99.709199676271325</v>
      </c>
    </row>
    <row r="34" spans="1:8" s="26" customFormat="1" ht="16.5">
      <c r="A34" s="192" t="s">
        <v>51</v>
      </c>
      <c r="B34" s="193"/>
      <c r="C34" s="193"/>
      <c r="D34" s="193"/>
      <c r="E34" s="193"/>
      <c r="F34" s="193"/>
      <c r="G34" s="193"/>
      <c r="H34" s="194"/>
    </row>
    <row r="35" spans="1:8" ht="17.25" customHeight="1">
      <c r="A35" s="130" t="s">
        <v>45</v>
      </c>
      <c r="B35" s="123">
        <v>3051.0432758689603</v>
      </c>
      <c r="C35" s="123">
        <v>3484.7389705929322</v>
      </c>
      <c r="D35" s="136">
        <v>4021.0232631182698</v>
      </c>
      <c r="E35" s="136">
        <v>3997.8386289</v>
      </c>
      <c r="F35" s="137">
        <f t="shared" si="4"/>
        <v>131.03185590710393</v>
      </c>
      <c r="G35" s="137">
        <f>E35/C35*100</f>
        <v>114.72419204528721</v>
      </c>
      <c r="H35" s="137">
        <f>E35/D35*100</f>
        <v>99.423414571337489</v>
      </c>
    </row>
    <row r="36" spans="1:8" ht="32.25" customHeight="1">
      <c r="A36" s="130" t="s">
        <v>48</v>
      </c>
      <c r="B36" s="123">
        <v>3.29343102470976</v>
      </c>
      <c r="C36" s="123">
        <v>16.381720027460524</v>
      </c>
      <c r="D36" s="136">
        <v>19.997374509398899</v>
      </c>
      <c r="E36" s="136">
        <v>17.392955789648301</v>
      </c>
      <c r="F36" s="136">
        <f>E36/B36*100</f>
        <v>528.11052240515914</v>
      </c>
      <c r="G36" s="137">
        <f t="shared" si="5"/>
        <v>106.17295229373138</v>
      </c>
      <c r="H36" s="137">
        <f t="shared" ref="H36:H39" si="6">E36/D36*100</f>
        <v>86.976196707590276</v>
      </c>
    </row>
    <row r="37" spans="1:8" ht="30.75" customHeight="1">
      <c r="A37" s="130" t="s">
        <v>49</v>
      </c>
      <c r="B37" s="123">
        <v>918.92399999999998</v>
      </c>
      <c r="C37" s="123">
        <v>877.947</v>
      </c>
      <c r="D37" s="136">
        <v>844.947</v>
      </c>
      <c r="E37" s="136">
        <v>855.74699999999996</v>
      </c>
      <c r="F37" s="137">
        <f t="shared" si="4"/>
        <v>93.124893897645507</v>
      </c>
      <c r="G37" s="137">
        <f t="shared" si="5"/>
        <v>97.471373556718106</v>
      </c>
      <c r="H37" s="137">
        <f t="shared" si="6"/>
        <v>101.27818667916448</v>
      </c>
    </row>
    <row r="38" spans="1:8" ht="16.5">
      <c r="A38" s="130" t="s">
        <v>46</v>
      </c>
      <c r="B38" s="139" t="s">
        <v>24</v>
      </c>
      <c r="C38" s="140">
        <v>3.3956676860346584</v>
      </c>
      <c r="D38" s="136">
        <v>7.3958697927804202</v>
      </c>
      <c r="E38" s="136">
        <v>8.1550058100000005</v>
      </c>
      <c r="F38" s="137" t="s">
        <v>24</v>
      </c>
      <c r="G38" s="137" t="s">
        <v>24</v>
      </c>
      <c r="H38" s="137">
        <f>E38/D38*100</f>
        <v>110.26432371701056</v>
      </c>
    </row>
    <row r="39" spans="1:8" ht="16.5">
      <c r="A39" s="133" t="s">
        <v>6</v>
      </c>
      <c r="B39" s="122">
        <v>874.8336934619698</v>
      </c>
      <c r="C39" s="122">
        <v>1198.5808384821819</v>
      </c>
      <c r="D39" s="134">
        <v>1279.6991396405699</v>
      </c>
      <c r="E39" s="134">
        <v>1255.0399635036499</v>
      </c>
      <c r="F39" s="135">
        <f t="shared" si="4"/>
        <v>143.46040543284221</v>
      </c>
      <c r="G39" s="135">
        <f t="shared" si="5"/>
        <v>104.71049788289331</v>
      </c>
      <c r="H39" s="135">
        <f t="shared" si="6"/>
        <v>98.073048939937081</v>
      </c>
    </row>
    <row r="40" spans="1:8" ht="16.5">
      <c r="A40" s="187" t="s">
        <v>3</v>
      </c>
      <c r="B40" s="187"/>
      <c r="C40" s="187"/>
      <c r="D40" s="187"/>
      <c r="E40" s="187"/>
      <c r="F40" s="187"/>
      <c r="G40" s="187"/>
      <c r="H40" s="187"/>
    </row>
    <row r="41" spans="1:8" ht="18" customHeight="1">
      <c r="A41" s="130" t="s">
        <v>45</v>
      </c>
      <c r="B41" s="131" t="s">
        <v>24</v>
      </c>
      <c r="C41" s="131" t="s">
        <v>24</v>
      </c>
      <c r="D41" s="131" t="s">
        <v>24</v>
      </c>
      <c r="E41" s="131" t="s">
        <v>24</v>
      </c>
      <c r="F41" s="138" t="s">
        <v>24</v>
      </c>
      <c r="G41" s="138" t="s">
        <v>24</v>
      </c>
      <c r="H41" s="138" t="s">
        <v>24</v>
      </c>
    </row>
    <row r="42" spans="1:8" ht="32.25" customHeight="1">
      <c r="A42" s="131" t="s">
        <v>44</v>
      </c>
      <c r="B42" s="123">
        <v>784.75951546196973</v>
      </c>
      <c r="C42" s="123">
        <v>1067.4558384821819</v>
      </c>
      <c r="D42" s="138">
        <v>1115.5741396405699</v>
      </c>
      <c r="E42" s="138">
        <v>1101.7149635036501</v>
      </c>
      <c r="F42" s="138">
        <f>E42/B42*100</f>
        <v>140.38886331376256</v>
      </c>
      <c r="G42" s="138">
        <f>E42/C42*100</f>
        <v>103.20941848706184</v>
      </c>
      <c r="H42" s="138">
        <f>E42/D42*100</f>
        <v>98.757664269504744</v>
      </c>
    </row>
    <row r="43" spans="1:8" ht="33" customHeight="1">
      <c r="A43" s="131" t="s">
        <v>42</v>
      </c>
      <c r="B43" s="123">
        <v>81.147999999999996</v>
      </c>
      <c r="C43" s="123">
        <v>122.125</v>
      </c>
      <c r="D43" s="138">
        <v>155.125</v>
      </c>
      <c r="E43" s="138">
        <v>144.32499999999999</v>
      </c>
      <c r="F43" s="138">
        <f>E43/B43*100</f>
        <v>177.85404446197072</v>
      </c>
      <c r="G43" s="138">
        <f t="shared" ref="G43:G45" si="7">E43/C43*100</f>
        <v>118.17809621289661</v>
      </c>
      <c r="H43" s="138">
        <f t="shared" ref="H43:H44" si="8">E43/D43*100</f>
        <v>93.037872683319904</v>
      </c>
    </row>
    <row r="44" spans="1:8" ht="16.5">
      <c r="A44" s="131" t="s">
        <v>43</v>
      </c>
      <c r="B44" s="123">
        <v>8.9261780000000002</v>
      </c>
      <c r="C44" s="123">
        <v>9</v>
      </c>
      <c r="D44" s="138">
        <v>9</v>
      </c>
      <c r="E44" s="138">
        <v>9</v>
      </c>
      <c r="F44" s="138">
        <f>E44/B44*100</f>
        <v>100.82702809645964</v>
      </c>
      <c r="G44" s="138">
        <f t="shared" si="7"/>
        <v>100</v>
      </c>
      <c r="H44" s="138">
        <f t="shared" si="8"/>
        <v>100</v>
      </c>
    </row>
    <row r="45" spans="1:8" ht="21.75" customHeight="1">
      <c r="A45" s="135" t="s">
        <v>144</v>
      </c>
      <c r="B45" s="122">
        <v>497.12509771603919</v>
      </c>
      <c r="C45" s="122">
        <v>559.85295667859168</v>
      </c>
      <c r="D45" s="135">
        <v>601.54162130746397</v>
      </c>
      <c r="E45" s="135">
        <v>570.06685388999995</v>
      </c>
      <c r="F45" s="134">
        <f>E45/B45*100</f>
        <v>114.67271648707333</v>
      </c>
      <c r="G45" s="134">
        <f t="shared" si="7"/>
        <v>101.82438925963768</v>
      </c>
      <c r="H45" s="134">
        <f>E45/D45*100</f>
        <v>94.767649269380072</v>
      </c>
    </row>
    <row r="46" spans="1:8" ht="16.5">
      <c r="A46" s="198" t="s">
        <v>52</v>
      </c>
      <c r="B46" s="199"/>
      <c r="C46" s="199"/>
      <c r="D46" s="199"/>
      <c r="E46" s="199"/>
      <c r="F46" s="199"/>
      <c r="G46" s="199"/>
      <c r="H46" s="200"/>
    </row>
    <row r="47" spans="1:8" ht="33" customHeight="1">
      <c r="A47" s="131" t="s">
        <v>41</v>
      </c>
      <c r="B47" s="123">
        <v>144.11373061461876</v>
      </c>
      <c r="C47" s="123">
        <v>156.50908127552395</v>
      </c>
      <c r="D47" s="138">
        <v>158.475672003965</v>
      </c>
      <c r="E47" s="138">
        <v>146.29375250999999</v>
      </c>
      <c r="F47" s="138">
        <f>E47/B47*100</f>
        <v>101.51270936230978</v>
      </c>
      <c r="G47" s="138">
        <f>E47/C47*100</f>
        <v>93.473012120274007</v>
      </c>
      <c r="H47" s="138">
        <f>E47/D47*100</f>
        <v>92.313066516821436</v>
      </c>
    </row>
    <row r="48" spans="1:8" ht="32.25" customHeight="1">
      <c r="A48" s="135" t="s">
        <v>25</v>
      </c>
      <c r="B48" s="122">
        <v>476.33</v>
      </c>
      <c r="C48" s="122">
        <v>480.69</v>
      </c>
      <c r="D48" s="135">
        <v>484.1</v>
      </c>
      <c r="E48" s="135">
        <v>482.24</v>
      </c>
      <c r="F48" s="134">
        <f>E48/B48*100</f>
        <v>101.24073646421598</v>
      </c>
      <c r="G48" s="134">
        <f>E48/C48*100</f>
        <v>100.32245314027752</v>
      </c>
      <c r="H48" s="134">
        <f>E48/D48*100</f>
        <v>99.615781863251399</v>
      </c>
    </row>
    <row r="49" spans="1:8" ht="25.5" customHeight="1">
      <c r="A49" s="185" t="s">
        <v>87</v>
      </c>
      <c r="B49" s="185"/>
      <c r="C49" s="185"/>
      <c r="D49" s="185"/>
      <c r="E49" s="185"/>
      <c r="F49" s="185"/>
      <c r="G49" s="185"/>
      <c r="H49" s="185"/>
    </row>
    <row r="50" spans="1:8">
      <c r="A50" s="1"/>
    </row>
  </sheetData>
  <mergeCells count="13">
    <mergeCell ref="A49:H49"/>
    <mergeCell ref="A2:H2"/>
    <mergeCell ref="A40:H40"/>
    <mergeCell ref="A4:B4"/>
    <mergeCell ref="A25:H25"/>
    <mergeCell ref="A11:H11"/>
    <mergeCell ref="A17:H17"/>
    <mergeCell ref="A7:H7"/>
    <mergeCell ref="A9:H9"/>
    <mergeCell ref="A23:H23"/>
    <mergeCell ref="A34:H34"/>
    <mergeCell ref="A30:H30"/>
    <mergeCell ref="A46:H46"/>
  </mergeCells>
  <pageMargins left="0.27083333333333331" right="6.25E-2" top="8.3333333333333329E-2" bottom="7.2916666666666671E-2" header="0.2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>
      <selection activeCell="E8" sqref="E8"/>
    </sheetView>
  </sheetViews>
  <sheetFormatPr defaultRowHeight="15"/>
  <cols>
    <col min="1" max="1" width="72.140625" customWidth="1"/>
    <col min="2" max="2" width="11.5703125" style="18" customWidth="1"/>
    <col min="3" max="3" width="11" style="29" customWidth="1"/>
    <col min="4" max="4" width="10.7109375" style="18" customWidth="1"/>
    <col min="5" max="5" width="9.85546875" style="29" customWidth="1"/>
    <col min="6" max="6" width="9.7109375" customWidth="1"/>
    <col min="7" max="7" width="9.28515625" customWidth="1"/>
  </cols>
  <sheetData>
    <row r="1" spans="1:8" ht="19.5" customHeight="1">
      <c r="A1" s="16" t="s">
        <v>34</v>
      </c>
      <c r="B1" s="16"/>
      <c r="C1" s="16"/>
      <c r="D1" s="16"/>
      <c r="E1" s="16"/>
      <c r="F1" s="16"/>
      <c r="G1" s="16"/>
      <c r="H1" s="16"/>
    </row>
    <row r="2" spans="1:8" ht="35.25" customHeight="1">
      <c r="A2" s="201" t="s">
        <v>124</v>
      </c>
      <c r="B2" s="201"/>
      <c r="C2" s="201"/>
      <c r="D2" s="201"/>
      <c r="E2" s="201"/>
      <c r="F2" s="201"/>
      <c r="G2" s="201"/>
      <c r="H2" s="201"/>
    </row>
    <row r="3" spans="1:8" ht="134.25" customHeight="1">
      <c r="A3" s="2"/>
      <c r="B3" s="7" t="s">
        <v>138</v>
      </c>
      <c r="C3" s="7" t="s">
        <v>134</v>
      </c>
      <c r="D3" s="7" t="s">
        <v>116</v>
      </c>
      <c r="E3" s="7" t="s">
        <v>123</v>
      </c>
      <c r="F3" s="7" t="s">
        <v>145</v>
      </c>
      <c r="G3" s="7" t="s">
        <v>146</v>
      </c>
      <c r="H3" s="7" t="s">
        <v>147</v>
      </c>
    </row>
    <row r="4" spans="1:8" ht="20.25" customHeight="1">
      <c r="A4" s="12" t="s">
        <v>5</v>
      </c>
      <c r="B4" s="150">
        <v>2309.2928057214021</v>
      </c>
      <c r="C4" s="150">
        <v>2682.7521349543167</v>
      </c>
      <c r="D4" s="143">
        <v>2988.3796274422398</v>
      </c>
      <c r="E4" s="143">
        <v>2958.1438546825502</v>
      </c>
      <c r="F4" s="143"/>
      <c r="G4" s="143"/>
      <c r="H4" s="144"/>
    </row>
    <row r="5" spans="1:8" ht="16.5">
      <c r="A5" s="13" t="s">
        <v>31</v>
      </c>
      <c r="B5" s="145">
        <v>100</v>
      </c>
      <c r="C5" s="145">
        <v>100</v>
      </c>
      <c r="D5" s="145">
        <v>100</v>
      </c>
      <c r="E5" s="145">
        <v>100</v>
      </c>
      <c r="F5" s="145"/>
      <c r="G5" s="145"/>
      <c r="H5" s="145"/>
    </row>
    <row r="6" spans="1:8" ht="16.5">
      <c r="A6" s="3" t="s">
        <v>1</v>
      </c>
      <c r="B6" s="146"/>
      <c r="C6" s="146"/>
      <c r="D6" s="146"/>
      <c r="E6" s="146"/>
      <c r="F6" s="146"/>
      <c r="G6" s="146"/>
      <c r="H6" s="139"/>
    </row>
    <row r="7" spans="1:8" ht="16.5">
      <c r="A7" s="3" t="s">
        <v>6</v>
      </c>
      <c r="B7" s="147">
        <v>18.044898081972061</v>
      </c>
      <c r="C7" s="147">
        <v>21.475924508389625</v>
      </c>
      <c r="D7" s="139">
        <v>20.730376683441399</v>
      </c>
      <c r="E7" s="139">
        <v>20.459805260719801</v>
      </c>
      <c r="F7" s="146">
        <f>E7-B7</f>
        <v>2.4149071787477396</v>
      </c>
      <c r="G7" s="148">
        <f>E7-C7</f>
        <v>-1.016119247669824</v>
      </c>
      <c r="H7" s="149">
        <f>E7-D7</f>
        <v>-0.27057142272159851</v>
      </c>
    </row>
    <row r="8" spans="1:8" ht="16.5">
      <c r="A8" s="3" t="s">
        <v>2</v>
      </c>
      <c r="B8" s="147">
        <v>81.955101918027935</v>
      </c>
      <c r="C8" s="147">
        <v>78.524075491610375</v>
      </c>
      <c r="D8" s="139">
        <v>79.269623316558594</v>
      </c>
      <c r="E8" s="139">
        <v>79.540194739280196</v>
      </c>
      <c r="F8" s="148">
        <f>E8-B8</f>
        <v>-2.4149071787477396</v>
      </c>
      <c r="G8" s="146">
        <f>E8-C8</f>
        <v>1.0161192476698204</v>
      </c>
      <c r="H8" s="139">
        <f>E8-D8</f>
        <v>0.27057142272160206</v>
      </c>
    </row>
    <row r="9" spans="1:8" ht="16.5">
      <c r="A9" s="13" t="s">
        <v>32</v>
      </c>
      <c r="B9" s="145">
        <v>100</v>
      </c>
      <c r="C9" s="145">
        <v>100</v>
      </c>
      <c r="D9" s="145">
        <v>100</v>
      </c>
      <c r="E9" s="145">
        <v>100</v>
      </c>
      <c r="F9" s="145"/>
      <c r="G9" s="145"/>
      <c r="H9" s="145"/>
    </row>
    <row r="10" spans="1:8" ht="16.5">
      <c r="A10" s="3" t="s">
        <v>1</v>
      </c>
      <c r="B10" s="146"/>
      <c r="C10" s="146"/>
      <c r="D10" s="146"/>
      <c r="E10" s="146"/>
      <c r="F10" s="146"/>
      <c r="G10" s="146"/>
      <c r="H10" s="139"/>
    </row>
    <row r="11" spans="1:8" ht="16.5">
      <c r="A11" s="3" t="s">
        <v>7</v>
      </c>
      <c r="B11" s="147">
        <v>62.932835541427281</v>
      </c>
      <c r="C11" s="147">
        <v>62.438834879646478</v>
      </c>
      <c r="D11" s="139">
        <v>65.138222192393798</v>
      </c>
      <c r="E11" s="139">
        <v>65.173223315322105</v>
      </c>
      <c r="F11" s="146">
        <f>E11-B11</f>
        <v>2.2403877738948239</v>
      </c>
      <c r="G11" s="146">
        <f>E11-C11</f>
        <v>2.7343884356756263</v>
      </c>
      <c r="H11" s="139">
        <f t="shared" ref="H11:H15" si="0">E11-D11</f>
        <v>3.5001122928306927E-2</v>
      </c>
    </row>
    <row r="12" spans="1:8" ht="16.5">
      <c r="A12" s="3" t="s">
        <v>8</v>
      </c>
      <c r="B12" s="147">
        <v>0</v>
      </c>
      <c r="C12" s="146" t="s">
        <v>24</v>
      </c>
      <c r="D12" s="146" t="s">
        <v>24</v>
      </c>
      <c r="E12" s="146" t="s">
        <v>24</v>
      </c>
      <c r="F12" s="146" t="s">
        <v>24</v>
      </c>
      <c r="G12" s="146" t="s">
        <v>24</v>
      </c>
      <c r="H12" s="146" t="s">
        <v>24</v>
      </c>
    </row>
    <row r="13" spans="1:8" ht="16.5">
      <c r="A13" s="3" t="s">
        <v>9</v>
      </c>
      <c r="B13" s="147">
        <v>16.254901027275181</v>
      </c>
      <c r="C13" s="147">
        <v>19.419978059541148</v>
      </c>
      <c r="D13" s="139">
        <v>18.395593550158001</v>
      </c>
      <c r="E13" s="139">
        <v>18.243825503811198</v>
      </c>
      <c r="F13" s="146">
        <f>E13-B13</f>
        <v>1.9889244765360168</v>
      </c>
      <c r="G13" s="148">
        <f t="shared" ref="G13:G16" si="1">E13-C13</f>
        <v>-1.1761525557299493</v>
      </c>
      <c r="H13" s="149">
        <f t="shared" si="0"/>
        <v>-0.15176804634680252</v>
      </c>
    </row>
    <row r="14" spans="1:8" ht="16.5">
      <c r="A14" s="3" t="s">
        <v>10</v>
      </c>
      <c r="B14" s="147">
        <v>20.628146183099034</v>
      </c>
      <c r="C14" s="147">
        <v>17.919084041216728</v>
      </c>
      <c r="D14" s="139">
        <v>16.200580768059002</v>
      </c>
      <c r="E14" s="139">
        <v>16.303288310897699</v>
      </c>
      <c r="F14" s="148">
        <f>E14-B14</f>
        <v>-4.3248578722013349</v>
      </c>
      <c r="G14" s="148">
        <f t="shared" si="1"/>
        <v>-1.6157957303190287</v>
      </c>
      <c r="H14" s="139">
        <f t="shared" si="0"/>
        <v>0.10270754283869721</v>
      </c>
    </row>
    <row r="15" spans="1:8" ht="16.5">
      <c r="A15" s="3" t="s">
        <v>11</v>
      </c>
      <c r="B15" s="147">
        <v>0</v>
      </c>
      <c r="C15" s="147">
        <v>6.0842873955174209E-2</v>
      </c>
      <c r="D15" s="139">
        <v>0.11980875969728901</v>
      </c>
      <c r="E15" s="139">
        <v>0.13294383894107201</v>
      </c>
      <c r="F15" s="146">
        <f>E15-B15</f>
        <v>0.13294383894107201</v>
      </c>
      <c r="G15" s="146">
        <f t="shared" si="1"/>
        <v>7.2100964985897797E-2</v>
      </c>
      <c r="H15" s="139">
        <f t="shared" si="0"/>
        <v>1.3135079243783002E-2</v>
      </c>
    </row>
    <row r="16" spans="1:8" ht="16.5">
      <c r="A16" s="3" t="s">
        <v>12</v>
      </c>
      <c r="B16" s="147">
        <v>0.18411724819849229</v>
      </c>
      <c r="C16" s="147">
        <v>0.1612601456404644</v>
      </c>
      <c r="D16" s="139">
        <v>0.145794729691993</v>
      </c>
      <c r="E16" s="139">
        <v>0.146719031027846</v>
      </c>
      <c r="F16" s="148">
        <f t="shared" ref="F16" si="2">E16-B16</f>
        <v>-3.7398217170646286E-2</v>
      </c>
      <c r="G16" s="148">
        <f t="shared" si="1"/>
        <v>-1.4541114612618394E-2</v>
      </c>
      <c r="H16" s="139">
        <f>E16-D16</f>
        <v>9.2430133585300056E-4</v>
      </c>
    </row>
    <row r="17" spans="1:8" ht="19.5" customHeight="1">
      <c r="A17" s="15" t="s">
        <v>13</v>
      </c>
      <c r="B17" s="145">
        <v>100</v>
      </c>
      <c r="C17" s="145">
        <v>100</v>
      </c>
      <c r="D17" s="145">
        <v>100</v>
      </c>
      <c r="E17" s="145">
        <v>100</v>
      </c>
      <c r="F17" s="145"/>
      <c r="G17" s="145"/>
      <c r="H17" s="145"/>
    </row>
    <row r="18" spans="1:8" ht="16.5">
      <c r="A18" s="3" t="s">
        <v>1</v>
      </c>
      <c r="B18" s="146"/>
      <c r="C18" s="146"/>
      <c r="D18" s="146"/>
      <c r="E18" s="146"/>
      <c r="F18" s="146"/>
      <c r="G18" s="146"/>
      <c r="H18" s="139"/>
    </row>
    <row r="19" spans="1:8" ht="16.5">
      <c r="A19" s="3" t="s">
        <v>14</v>
      </c>
      <c r="B19" s="147">
        <v>1.2572502251800923</v>
      </c>
      <c r="C19" s="147">
        <v>0.82500793538188322</v>
      </c>
      <c r="D19" s="139">
        <v>0.78203287110488395</v>
      </c>
      <c r="E19" s="139">
        <v>0.84582397709948698</v>
      </c>
      <c r="F19" s="148">
        <f>E19-B19</f>
        <v>-0.41142624808060535</v>
      </c>
      <c r="G19" s="146">
        <f>E19-C19</f>
        <v>2.0816041717603762E-2</v>
      </c>
      <c r="H19" s="139">
        <f t="shared" ref="H19:H25" si="3">E19-D19</f>
        <v>6.3791105994603026E-2</v>
      </c>
    </row>
    <row r="20" spans="1:8" ht="16.5">
      <c r="A20" s="3" t="s">
        <v>15</v>
      </c>
      <c r="B20" s="147">
        <v>7.6070850593206769</v>
      </c>
      <c r="C20" s="147">
        <v>8.6558180673651499</v>
      </c>
      <c r="D20" s="139">
        <v>8.1591945601868705</v>
      </c>
      <c r="E20" s="139">
        <v>7.4167163524758504</v>
      </c>
      <c r="F20" s="148">
        <f>E20-B20</f>
        <v>-0.19036870684482654</v>
      </c>
      <c r="G20" s="148">
        <f t="shared" ref="G20:G25" si="4">E20-C20</f>
        <v>-1.2391017148892995</v>
      </c>
      <c r="H20" s="149">
        <f>E20-D20</f>
        <v>-0.74247820771102013</v>
      </c>
    </row>
    <row r="21" spans="1:8" ht="16.5">
      <c r="A21" s="3" t="s">
        <v>16</v>
      </c>
      <c r="B21" s="147">
        <v>91.135664715499217</v>
      </c>
      <c r="C21" s="147">
        <v>90.519173997252963</v>
      </c>
      <c r="D21" s="139">
        <v>91.058772568708306</v>
      </c>
      <c r="E21" s="139">
        <v>91.737459670424698</v>
      </c>
      <c r="F21" s="146">
        <f t="shared" ref="F21" si="5">E21-B21</f>
        <v>0.60179495492548085</v>
      </c>
      <c r="G21" s="146">
        <f t="shared" si="4"/>
        <v>1.2182856731717351</v>
      </c>
      <c r="H21" s="139">
        <f t="shared" si="3"/>
        <v>0.67868710171639179</v>
      </c>
    </row>
    <row r="22" spans="1:8" ht="16.5">
      <c r="A22" s="13" t="s">
        <v>17</v>
      </c>
      <c r="B22" s="145">
        <v>100</v>
      </c>
      <c r="C22" s="145">
        <v>100</v>
      </c>
      <c r="D22" s="145">
        <v>100</v>
      </c>
      <c r="E22" s="145">
        <v>100</v>
      </c>
      <c r="F22" s="145"/>
      <c r="G22" s="145"/>
      <c r="H22" s="145"/>
    </row>
    <row r="23" spans="1:8" ht="16.5">
      <c r="A23" s="3" t="s">
        <v>1</v>
      </c>
      <c r="B23" s="146"/>
      <c r="C23" s="146"/>
      <c r="D23" s="146"/>
      <c r="E23" s="146"/>
      <c r="F23" s="146"/>
      <c r="G23" s="146"/>
      <c r="H23" s="139"/>
    </row>
    <row r="24" spans="1:8" ht="16.5">
      <c r="A24" s="3" t="s">
        <v>18</v>
      </c>
      <c r="B24" s="147">
        <v>10.879764011938214</v>
      </c>
      <c r="C24" s="147">
        <v>12.343284416687196</v>
      </c>
      <c r="D24" s="139">
        <v>13.482398696423701</v>
      </c>
      <c r="E24" s="139">
        <v>13.9788309952591</v>
      </c>
      <c r="F24" s="146">
        <f>E24-B24</f>
        <v>3.0990669833208866</v>
      </c>
      <c r="G24" s="146">
        <f>E24-C24</f>
        <v>1.6355465785719048</v>
      </c>
      <c r="H24" s="139">
        <f>E24-D24</f>
        <v>0.49643229883539952</v>
      </c>
    </row>
    <row r="25" spans="1:8" ht="16.5">
      <c r="A25" s="3" t="s">
        <v>19</v>
      </c>
      <c r="B25" s="147">
        <v>89.120235988061765</v>
      </c>
      <c r="C25" s="147">
        <v>87.656715583312803</v>
      </c>
      <c r="D25" s="139">
        <v>86.517601303576299</v>
      </c>
      <c r="E25" s="139">
        <v>86.021169004740898</v>
      </c>
      <c r="F25" s="148">
        <f>E25-B25</f>
        <v>-3.0990669833208671</v>
      </c>
      <c r="G25" s="148">
        <f t="shared" si="4"/>
        <v>-1.6355465785719048</v>
      </c>
      <c r="H25" s="149">
        <f t="shared" si="3"/>
        <v>-0.4964322988354013</v>
      </c>
    </row>
    <row r="26" spans="1:8" ht="22.5" customHeight="1">
      <c r="A26" s="202" t="s">
        <v>40</v>
      </c>
      <c r="B26" s="185"/>
      <c r="C26" s="185"/>
      <c r="D26" s="185"/>
      <c r="E26" s="185"/>
      <c r="F26" s="185"/>
      <c r="G26" s="185"/>
      <c r="H26" s="185"/>
    </row>
  </sheetData>
  <mergeCells count="2">
    <mergeCell ref="A2:H2"/>
    <mergeCell ref="A26:H26"/>
  </mergeCells>
  <pageMargins left="1.0416666666666666E-2" right="1.0416666666666666E-2" top="0.2" bottom="0.22" header="0.21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>
      <selection activeCell="H12" sqref="H12"/>
    </sheetView>
  </sheetViews>
  <sheetFormatPr defaultRowHeight="15"/>
  <cols>
    <col min="1" max="1" width="67.28515625" customWidth="1"/>
    <col min="2" max="2" width="9.140625" style="18" customWidth="1"/>
    <col min="3" max="3" width="8.85546875" style="29" customWidth="1"/>
    <col min="4" max="4" width="8.7109375" style="18" customWidth="1"/>
    <col min="5" max="5" width="8.85546875" style="29" customWidth="1"/>
    <col min="6" max="6" width="9.28515625" customWidth="1"/>
    <col min="7" max="7" width="10" customWidth="1"/>
    <col min="8" max="9" width="9.140625" customWidth="1"/>
  </cols>
  <sheetData>
    <row r="1" spans="1:9" ht="17.25" customHeight="1">
      <c r="A1" s="78" t="s">
        <v>69</v>
      </c>
      <c r="B1" s="19"/>
      <c r="C1" s="78"/>
      <c r="D1" s="19"/>
      <c r="E1" s="78"/>
      <c r="F1" s="4"/>
      <c r="G1" s="4"/>
      <c r="H1" s="4"/>
      <c r="I1" s="4"/>
    </row>
    <row r="2" spans="1:9" s="14" customFormat="1" ht="17.25" customHeight="1">
      <c r="A2" s="9" t="s">
        <v>120</v>
      </c>
      <c r="B2" s="9"/>
      <c r="C2" s="9"/>
      <c r="D2" s="9"/>
      <c r="E2" s="9"/>
      <c r="F2" s="9"/>
      <c r="G2" s="4"/>
      <c r="H2" s="4"/>
      <c r="I2" s="4"/>
    </row>
    <row r="3" spans="1:9" s="14" customFormat="1" ht="17.25" customHeight="1">
      <c r="A3" s="80" t="s">
        <v>125</v>
      </c>
      <c r="B3" s="80"/>
      <c r="C3" s="80"/>
      <c r="D3" s="80"/>
      <c r="E3" s="80"/>
      <c r="F3" s="80"/>
      <c r="G3" s="4"/>
      <c r="H3" s="4"/>
      <c r="I3" s="4"/>
    </row>
    <row r="4" spans="1:9" ht="20.25" customHeight="1">
      <c r="A4" s="9" t="s">
        <v>35</v>
      </c>
      <c r="B4" s="9"/>
      <c r="C4" s="9"/>
      <c r="D4" s="9"/>
      <c r="E4" s="9"/>
      <c r="F4" s="4"/>
      <c r="G4" s="4"/>
      <c r="H4" s="4"/>
      <c r="I4" s="4"/>
    </row>
    <row r="5" spans="1:9" ht="173.25" customHeight="1">
      <c r="A5" s="117"/>
      <c r="B5" s="7" t="s">
        <v>138</v>
      </c>
      <c r="C5" s="7" t="s">
        <v>134</v>
      </c>
      <c r="D5" s="7" t="s">
        <v>116</v>
      </c>
      <c r="E5" s="7" t="s">
        <v>123</v>
      </c>
      <c r="F5" s="7" t="s">
        <v>148</v>
      </c>
      <c r="G5" s="7" t="s">
        <v>149</v>
      </c>
      <c r="H5" s="7" t="s">
        <v>150</v>
      </c>
    </row>
    <row r="6" spans="1:9" ht="42.75" customHeight="1">
      <c r="A6" s="15" t="s">
        <v>20</v>
      </c>
      <c r="B6" s="120">
        <v>4.7864489877286402</v>
      </c>
      <c r="C6" s="120">
        <v>5.0618482278909234</v>
      </c>
      <c r="D6" s="151">
        <v>4.8873446100004596</v>
      </c>
      <c r="E6" s="151">
        <v>4.8899999999999997</v>
      </c>
      <c r="F6" s="151">
        <f>E6-B6</f>
        <v>0.10355101227135943</v>
      </c>
      <c r="G6" s="151">
        <f>E6-C6</f>
        <v>-0.17184822789092369</v>
      </c>
      <c r="H6" s="151">
        <f>E6-D6</f>
        <v>2.6553899995400698E-3</v>
      </c>
    </row>
    <row r="7" spans="1:9" ht="34.5" customHeight="1">
      <c r="A7" s="5" t="s">
        <v>53</v>
      </c>
      <c r="B7" s="121">
        <v>1.6803124401142828</v>
      </c>
      <c r="C7" s="121">
        <v>1.9980055656543598</v>
      </c>
      <c r="D7" s="152">
        <v>2.0952320538179601</v>
      </c>
      <c r="E7" s="152">
        <v>2.28653559692841</v>
      </c>
      <c r="F7" s="153">
        <f>E7-B7</f>
        <v>0.6062231568141272</v>
      </c>
      <c r="G7" s="153">
        <f t="shared" ref="G7:G10" si="0">E7-C7</f>
        <v>0.28853003127405019</v>
      </c>
      <c r="H7" s="153">
        <f t="shared" ref="H7:H10" si="1">E7-D7</f>
        <v>0.19130354311044995</v>
      </c>
    </row>
    <row r="8" spans="1:9" ht="34.5" customHeight="1">
      <c r="A8" s="5" t="s">
        <v>21</v>
      </c>
      <c r="B8" s="154">
        <v>0</v>
      </c>
      <c r="C8" s="154">
        <v>0</v>
      </c>
      <c r="D8" s="152" t="s">
        <v>24</v>
      </c>
      <c r="E8" s="152" t="s">
        <v>24</v>
      </c>
      <c r="F8" s="152" t="s">
        <v>24</v>
      </c>
      <c r="G8" s="152" t="s">
        <v>24</v>
      </c>
      <c r="H8" s="152" t="s">
        <v>24</v>
      </c>
    </row>
    <row r="9" spans="1:9" ht="35.25" customHeight="1">
      <c r="A9" s="5" t="s">
        <v>22</v>
      </c>
      <c r="B9" s="154">
        <v>14.21605060062403</v>
      </c>
      <c r="C9" s="154">
        <v>13.294450850481198</v>
      </c>
      <c r="D9" s="152">
        <v>13.087737381830999</v>
      </c>
      <c r="E9" s="152">
        <v>12.49</v>
      </c>
      <c r="F9" s="153">
        <f t="shared" ref="F9:F10" si="2">E9-B9</f>
        <v>-1.7260506006240295</v>
      </c>
      <c r="G9" s="153">
        <f t="shared" si="0"/>
        <v>-0.80445085048119758</v>
      </c>
      <c r="H9" s="152">
        <f t="shared" si="1"/>
        <v>-0.59773738183099923</v>
      </c>
    </row>
    <row r="10" spans="1:9" s="29" customFormat="1" ht="35.25" customHeight="1">
      <c r="A10" s="5" t="s">
        <v>23</v>
      </c>
      <c r="B10" s="155">
        <v>6.8749550032397666</v>
      </c>
      <c r="C10" s="156">
        <v>6.8749550032397702</v>
      </c>
      <c r="D10" s="152">
        <v>6.8749550032397702</v>
      </c>
      <c r="E10" s="152">
        <v>6.87</v>
      </c>
      <c r="F10" s="153">
        <f t="shared" si="2"/>
        <v>-4.9550032397664978E-3</v>
      </c>
      <c r="G10" s="153">
        <f t="shared" si="0"/>
        <v>-4.9550032397700505E-3</v>
      </c>
      <c r="H10" s="157">
        <f t="shared" si="1"/>
        <v>-4.9550032397700505E-3</v>
      </c>
    </row>
    <row r="11" spans="1:9" s="29" customFormat="1" ht="35.25" customHeight="1">
      <c r="A11" s="5" t="s">
        <v>66</v>
      </c>
      <c r="B11" s="158">
        <v>0</v>
      </c>
      <c r="C11" s="121">
        <v>1</v>
      </c>
      <c r="D11" s="152">
        <v>1</v>
      </c>
      <c r="E11" s="152">
        <v>1</v>
      </c>
      <c r="F11" s="152" t="s">
        <v>24</v>
      </c>
      <c r="G11" s="152" t="s">
        <v>24</v>
      </c>
      <c r="H11" s="152">
        <f>E11-D11</f>
        <v>0</v>
      </c>
    </row>
    <row r="12" spans="1:9" ht="33" customHeight="1">
      <c r="A12" s="5" t="s">
        <v>67</v>
      </c>
      <c r="B12" s="158">
        <v>0</v>
      </c>
      <c r="C12" s="158">
        <v>0</v>
      </c>
      <c r="D12" s="152" t="s">
        <v>24</v>
      </c>
      <c r="E12" s="152" t="s">
        <v>24</v>
      </c>
      <c r="F12" s="152" t="s">
        <v>24</v>
      </c>
      <c r="G12" s="152" t="s">
        <v>24</v>
      </c>
      <c r="H12" s="152" t="s">
        <v>24</v>
      </c>
    </row>
    <row r="14" spans="1:9" ht="29.25" customHeight="1">
      <c r="A14" s="202" t="s">
        <v>87</v>
      </c>
      <c r="B14" s="202"/>
      <c r="C14" s="202"/>
      <c r="D14" s="202"/>
      <c r="E14" s="202"/>
      <c r="F14" s="202"/>
      <c r="G14" s="202"/>
      <c r="H14" s="202"/>
    </row>
  </sheetData>
  <mergeCells count="1">
    <mergeCell ref="A14:H14"/>
  </mergeCells>
  <pageMargins left="0.7" right="5.2083333333333336E-2" top="0.2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Layout" topLeftCell="A5" workbookViewId="0">
      <selection activeCell="F8" sqref="F8:F10"/>
    </sheetView>
  </sheetViews>
  <sheetFormatPr defaultRowHeight="15"/>
  <cols>
    <col min="1" max="1" width="37.42578125" customWidth="1"/>
    <col min="2" max="2" width="11.85546875" customWidth="1"/>
    <col min="3" max="3" width="11.5703125" style="29" customWidth="1"/>
    <col min="4" max="4" width="11.7109375" customWidth="1"/>
    <col min="5" max="5" width="11.5703125" customWidth="1"/>
    <col min="6" max="6" width="11.5703125" style="29" customWidth="1"/>
    <col min="7" max="7" width="13.7109375" customWidth="1"/>
    <col min="8" max="8" width="14.42578125" customWidth="1"/>
    <col min="9" max="9" width="14.7109375" customWidth="1"/>
  </cols>
  <sheetData>
    <row r="1" spans="1:9" hidden="1"/>
    <row r="2" spans="1:9" hidden="1"/>
    <row r="3" spans="1:9" ht="48.75" customHeight="1">
      <c r="A3" s="203" t="s">
        <v>126</v>
      </c>
      <c r="B3" s="203"/>
      <c r="C3" s="203"/>
      <c r="D3" s="203"/>
      <c r="E3" s="203"/>
      <c r="F3" s="203"/>
      <c r="G3" s="203"/>
      <c r="H3" s="203"/>
      <c r="I3" s="203"/>
    </row>
    <row r="4" spans="1:9" ht="31.5" customHeight="1">
      <c r="A4" s="203"/>
      <c r="B4" s="203"/>
      <c r="C4" s="203"/>
      <c r="D4" s="203"/>
      <c r="E4" s="203"/>
      <c r="F4" s="203"/>
      <c r="G4" s="203"/>
      <c r="H4" s="203"/>
      <c r="I4" s="203"/>
    </row>
    <row r="5" spans="1:9" ht="16.5">
      <c r="A5" s="22"/>
      <c r="B5" s="22"/>
      <c r="C5" s="22"/>
      <c r="D5" s="22"/>
      <c r="E5" s="22" t="s">
        <v>36</v>
      </c>
      <c r="F5" s="22"/>
      <c r="G5" s="22"/>
      <c r="H5" s="22"/>
      <c r="I5" s="22"/>
    </row>
    <row r="6" spans="1:9" ht="4.5" customHeight="1">
      <c r="A6" s="18"/>
      <c r="B6" s="18"/>
      <c r="D6" s="18"/>
      <c r="E6" s="18"/>
      <c r="G6" s="18"/>
      <c r="H6" s="18"/>
      <c r="I6" s="18"/>
    </row>
    <row r="7" spans="1:9" ht="181.5" customHeight="1">
      <c r="A7" s="7"/>
      <c r="B7" s="7" t="s">
        <v>139</v>
      </c>
      <c r="C7" s="7" t="s">
        <v>135</v>
      </c>
      <c r="D7" s="7" t="s">
        <v>121</v>
      </c>
      <c r="E7" s="7" t="s">
        <v>128</v>
      </c>
      <c r="F7" s="7" t="s">
        <v>127</v>
      </c>
      <c r="G7" s="7" t="s">
        <v>151</v>
      </c>
      <c r="H7" s="7" t="s">
        <v>152</v>
      </c>
      <c r="I7" s="7" t="s">
        <v>153</v>
      </c>
    </row>
    <row r="8" spans="1:9" ht="38.25" customHeight="1">
      <c r="A8" s="28" t="s">
        <v>37</v>
      </c>
      <c r="B8" s="21">
        <f>18.42+'[1]Կառ. արտաքին վարկեր'!$G$59</f>
        <v>23.526949480000003</v>
      </c>
      <c r="C8" s="21">
        <f>23.8+'[2]Կառավարության արտաքին վարկեր'!$H$59</f>
        <v>28.883812523</v>
      </c>
      <c r="D8" s="21">
        <v>12.590995120000001</v>
      </c>
      <c r="E8" s="21">
        <v>5.3057281600000001</v>
      </c>
      <c r="F8" s="21">
        <v>40.104572910000002</v>
      </c>
      <c r="G8" s="21">
        <f>F8/B8*100</f>
        <v>170.46227325005501</v>
      </c>
      <c r="H8" s="21">
        <f>F8/C8*100</f>
        <v>138.84792001770882</v>
      </c>
      <c r="I8" s="21">
        <f>E8/D8*100</f>
        <v>42.139069306541039</v>
      </c>
    </row>
    <row r="9" spans="1:9" ht="36.75" customHeight="1">
      <c r="A9" s="28" t="s">
        <v>38</v>
      </c>
      <c r="B9" s="25">
        <f>24.03+'[1]Կառ. արտաքին վարկեր'!$G$60</f>
        <v>34.597155200000003</v>
      </c>
      <c r="C9" s="21">
        <f>32.9+'[2]Կառավարության արտաքին վարկեր'!$H$60</f>
        <v>45.870414159999996</v>
      </c>
      <c r="D9" s="21">
        <v>1.77796975</v>
      </c>
      <c r="E9" s="21">
        <v>18.167174930000002</v>
      </c>
      <c r="F9" s="21">
        <v>69.349957933214796</v>
      </c>
      <c r="G9" s="21">
        <f>F9/B9*100</f>
        <v>200.44988535131</v>
      </c>
      <c r="H9" s="21">
        <f t="shared" ref="H9:H10" si="0">F9/C9*100</f>
        <v>151.18668362425529</v>
      </c>
      <c r="I9" s="21">
        <f t="shared" ref="I9:I10" si="1">E9/D9*100</f>
        <v>1021.793252106792</v>
      </c>
    </row>
    <row r="10" spans="1:9" ht="42" customHeight="1">
      <c r="A10" s="28" t="s">
        <v>39</v>
      </c>
      <c r="B10" s="21">
        <f>66.02+'[1]Կառ. արտաքին վարկեր'!$G$61</f>
        <v>89.327294220999988</v>
      </c>
      <c r="C10" s="21">
        <f>46.7+'[2]Կառավարության արտաքին վարկեր'!$H$61</f>
        <v>54.532315019000002</v>
      </c>
      <c r="D10" s="21">
        <v>15.306532685000001</v>
      </c>
      <c r="E10" s="21">
        <v>9.6893291710000007</v>
      </c>
      <c r="F10" s="21">
        <v>77.378209510999994</v>
      </c>
      <c r="G10" s="21">
        <f t="shared" ref="G10" si="2">F10/B10*100</f>
        <v>86.623254611924779</v>
      </c>
      <c r="H10" s="21">
        <f t="shared" si="0"/>
        <v>141.89423185874298</v>
      </c>
      <c r="I10" s="21">
        <f t="shared" si="1"/>
        <v>63.301920626970521</v>
      </c>
    </row>
    <row r="11" spans="1:9">
      <c r="A11" s="18"/>
      <c r="B11" s="18"/>
      <c r="D11" s="18"/>
      <c r="E11" s="18"/>
      <c r="G11" s="18"/>
      <c r="H11" s="18"/>
      <c r="I11" s="18"/>
    </row>
    <row r="12" spans="1:9" ht="39.75" customHeight="1">
      <c r="A12" s="204" t="s">
        <v>40</v>
      </c>
      <c r="B12" s="204"/>
      <c r="C12" s="204"/>
      <c r="D12" s="204"/>
      <c r="E12" s="204"/>
      <c r="F12" s="204"/>
      <c r="G12" s="204"/>
      <c r="H12" s="204"/>
      <c r="I12" s="204"/>
    </row>
  </sheetData>
  <mergeCells count="3">
    <mergeCell ref="A3:I3"/>
    <mergeCell ref="A4:I4"/>
    <mergeCell ref="A12:I12"/>
  </mergeCells>
  <pageMargins left="0.46875" right="0.17708333333333334" top="0.63541666666666663" bottom="0.75" header="0.3" footer="0.3"/>
  <pageSetup paperSize="9" orientation="landscape" verticalDpi="0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H17"/>
  <sheetViews>
    <sheetView view="pageLayout" topLeftCell="A4" workbookViewId="0">
      <selection activeCell="B15" sqref="B15:D15"/>
    </sheetView>
  </sheetViews>
  <sheetFormatPr defaultRowHeight="15"/>
  <cols>
    <col min="1" max="1" width="60" customWidth="1"/>
    <col min="2" max="2" width="16.28515625" customWidth="1"/>
    <col min="3" max="3" width="16.140625" customWidth="1"/>
    <col min="4" max="4" width="16.140625" style="29" customWidth="1"/>
    <col min="5" max="5" width="18.5703125" customWidth="1"/>
  </cols>
  <sheetData>
    <row r="4" spans="1:5" ht="16.5">
      <c r="A4" s="206" t="s">
        <v>64</v>
      </c>
      <c r="B4" s="206"/>
      <c r="C4" s="206"/>
      <c r="D4" s="206"/>
      <c r="E4" s="206"/>
    </row>
    <row r="5" spans="1:5" ht="30" customHeight="1">
      <c r="A5" s="205" t="s">
        <v>68</v>
      </c>
      <c r="B5" s="205"/>
      <c r="C5" s="205"/>
      <c r="D5" s="205"/>
      <c r="E5" s="205"/>
    </row>
    <row r="8" spans="1:5" ht="105.75" customHeight="1">
      <c r="A8" s="31"/>
      <c r="B8" s="32" t="s">
        <v>138</v>
      </c>
      <c r="C8" s="32" t="s">
        <v>134</v>
      </c>
      <c r="D8" s="32" t="s">
        <v>123</v>
      </c>
      <c r="E8" s="33" t="s">
        <v>117</v>
      </c>
    </row>
    <row r="9" spans="1:5" ht="21.75" customHeight="1">
      <c r="A9" s="34" t="s">
        <v>55</v>
      </c>
      <c r="B9" s="159"/>
      <c r="C9" s="159"/>
      <c r="D9" s="159"/>
      <c r="E9" s="43"/>
    </row>
    <row r="10" spans="1:5" ht="38.25" customHeight="1">
      <c r="A10" s="37" t="s">
        <v>63</v>
      </c>
      <c r="B10" s="164">
        <v>9.4520560955556263</v>
      </c>
      <c r="C10" s="164">
        <v>9.3632593449226356</v>
      </c>
      <c r="D10" s="161">
        <v>8.93</v>
      </c>
      <c r="E10" s="160" t="s">
        <v>56</v>
      </c>
    </row>
    <row r="11" spans="1:5" ht="57" customHeight="1">
      <c r="A11" s="37" t="s">
        <v>118</v>
      </c>
      <c r="B11" s="161" t="s">
        <v>119</v>
      </c>
      <c r="C11" s="165">
        <v>18.037782753383098</v>
      </c>
      <c r="D11" s="161">
        <v>14.09</v>
      </c>
      <c r="E11" s="160" t="s">
        <v>57</v>
      </c>
    </row>
    <row r="12" spans="1:5" ht="17.25">
      <c r="A12" s="35" t="s">
        <v>58</v>
      </c>
      <c r="B12" s="81"/>
      <c r="C12" s="81"/>
      <c r="D12" s="81"/>
      <c r="E12" s="43"/>
    </row>
    <row r="13" spans="1:5" ht="38.25" customHeight="1">
      <c r="A13" s="37" t="s">
        <v>59</v>
      </c>
      <c r="B13" s="166">
        <v>89.120235988061765</v>
      </c>
      <c r="C13" s="166">
        <v>87.656715583312803</v>
      </c>
      <c r="D13" s="161">
        <v>86.02</v>
      </c>
      <c r="E13" s="160" t="s">
        <v>60</v>
      </c>
    </row>
    <row r="14" spans="1:5" ht="17.25">
      <c r="A14" s="35" t="s">
        <v>61</v>
      </c>
      <c r="B14" s="81"/>
      <c r="C14" s="81"/>
      <c r="D14" s="81"/>
      <c r="E14" s="43"/>
    </row>
    <row r="15" spans="1:5" ht="24.75" customHeight="1">
      <c r="A15" s="37" t="s">
        <v>65</v>
      </c>
      <c r="B15" s="166">
        <v>18.044898081972061</v>
      </c>
      <c r="C15" s="166">
        <v>21.475924508389625</v>
      </c>
      <c r="D15" s="162">
        <v>20.459805260719801</v>
      </c>
      <c r="E15" s="160" t="s">
        <v>62</v>
      </c>
    </row>
    <row r="16" spans="1:5">
      <c r="B16" s="76"/>
      <c r="C16" s="76"/>
      <c r="D16" s="76"/>
    </row>
    <row r="17" spans="1:8" ht="24.75" customHeight="1">
      <c r="A17" s="207" t="s">
        <v>40</v>
      </c>
      <c r="B17" s="207"/>
      <c r="C17" s="207"/>
      <c r="D17" s="207"/>
      <c r="E17" s="207"/>
      <c r="F17" s="91"/>
      <c r="G17" s="91"/>
      <c r="H17" s="91"/>
    </row>
  </sheetData>
  <mergeCells count="3">
    <mergeCell ref="A5:E5"/>
    <mergeCell ref="A4:E4"/>
    <mergeCell ref="A17:E1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B14" sqref="B14:D14"/>
    </sheetView>
  </sheetViews>
  <sheetFormatPr defaultRowHeight="15"/>
  <cols>
    <col min="1" max="1" width="72.7109375" customWidth="1"/>
    <col min="2" max="2" width="17" customWidth="1"/>
    <col min="3" max="3" width="17.85546875" customWidth="1"/>
    <col min="4" max="4" width="17.85546875" style="29" customWidth="1"/>
    <col min="5" max="5" width="17.28515625" customWidth="1"/>
  </cols>
  <sheetData>
    <row r="1" spans="1:6" ht="17.25">
      <c r="A1" s="208" t="s">
        <v>64</v>
      </c>
      <c r="B1" s="208"/>
      <c r="C1" s="208"/>
      <c r="D1" s="208"/>
      <c r="E1" s="208"/>
    </row>
    <row r="2" spans="1:6" ht="17.25">
      <c r="A2" s="209" t="s">
        <v>129</v>
      </c>
      <c r="B2" s="209"/>
      <c r="C2" s="209"/>
      <c r="D2" s="209"/>
      <c r="E2" s="209"/>
    </row>
    <row r="3" spans="1:6">
      <c r="A3" s="29"/>
      <c r="B3" s="38" t="s">
        <v>70</v>
      </c>
      <c r="C3" s="29"/>
      <c r="E3" s="29"/>
    </row>
    <row r="4" spans="1:6" ht="53.25" customHeight="1">
      <c r="A4" s="39"/>
      <c r="B4" s="36" t="s">
        <v>140</v>
      </c>
      <c r="C4" s="36" t="s">
        <v>136</v>
      </c>
      <c r="D4" s="36" t="s">
        <v>127</v>
      </c>
      <c r="E4" s="84" t="s">
        <v>130</v>
      </c>
    </row>
    <row r="5" spans="1:6" ht="21.75" customHeight="1">
      <c r="A5" s="40" t="s">
        <v>71</v>
      </c>
      <c r="B5" s="41">
        <f>49.62+'[1]Պակասուրդի ֆինանսավորում'!$I$6</f>
        <v>67.702656733245192</v>
      </c>
      <c r="C5" s="169">
        <f>10.3+'[2]Պակասուրդի ֆինանսավորում'!$I$6</f>
        <v>20.228739228875206</v>
      </c>
      <c r="D5" s="170">
        <v>-1.539994127397776</v>
      </c>
      <c r="E5" s="83">
        <v>100</v>
      </c>
      <c r="F5" s="92"/>
    </row>
    <row r="6" spans="1:6" ht="18" customHeight="1">
      <c r="A6" s="42" t="s">
        <v>72</v>
      </c>
      <c r="B6" s="43"/>
      <c r="C6" s="43"/>
      <c r="D6" s="43"/>
      <c r="E6" s="44"/>
    </row>
    <row r="7" spans="1:6" ht="19.5" customHeight="1">
      <c r="A7" s="45" t="s">
        <v>73</v>
      </c>
      <c r="B7" s="46">
        <f>29.07+'[1]Պակասուրդի ֆինանսավորում'!$I$8</f>
        <v>41.036980194199998</v>
      </c>
      <c r="C7" s="46">
        <f>3.32+'[2]Պակասուրդի ֆինանսավորում'!$I$8</f>
        <v>15.674801721900003</v>
      </c>
      <c r="D7" s="171">
        <v>-5.309949493299996</v>
      </c>
      <c r="E7" s="172">
        <v>344.80323001442537</v>
      </c>
    </row>
    <row r="8" spans="1:6" ht="16.5" customHeight="1">
      <c r="A8" s="42" t="s">
        <v>72</v>
      </c>
      <c r="B8" s="43"/>
      <c r="C8" s="43"/>
      <c r="D8" s="43"/>
      <c r="E8" s="47"/>
    </row>
    <row r="9" spans="1:6" ht="34.5">
      <c r="A9" s="48" t="s">
        <v>74</v>
      </c>
      <c r="B9" s="47">
        <f>29.07+'[1]Պակասուրդի ֆինանսավորում'!$I$10</f>
        <v>41.036980194199998</v>
      </c>
      <c r="C9" s="47">
        <f>3.32+'[2]Պակասուրդի ֆինանսավորում'!$I$10</f>
        <v>15.674801721900003</v>
      </c>
      <c r="D9" s="167">
        <v>-5.309949493299996</v>
      </c>
      <c r="E9" s="49"/>
    </row>
    <row r="10" spans="1:6" ht="17.25">
      <c r="A10" s="50" t="s">
        <v>75</v>
      </c>
      <c r="B10" s="43"/>
      <c r="C10" s="43"/>
      <c r="D10" s="43"/>
      <c r="E10" s="43"/>
    </row>
    <row r="11" spans="1:6" ht="17.25">
      <c r="A11" s="51" t="s">
        <v>76</v>
      </c>
      <c r="B11" s="47">
        <f>80.45+'[1]Պակասուրդի ֆինանսավորում'!$I$12</f>
        <v>98.129034399199995</v>
      </c>
      <c r="C11" s="47">
        <f>98.2+'[2]Պակասուրդի ֆինանսավորում'!$I$12</f>
        <v>131.84681609890001</v>
      </c>
      <c r="D11" s="167">
        <v>90.5043426692</v>
      </c>
      <c r="E11" s="49"/>
    </row>
    <row r="12" spans="1:6" ht="17.25">
      <c r="A12" s="51" t="s">
        <v>77</v>
      </c>
      <c r="B12" s="47">
        <f>-51.39+'[1]Պակասուրդի ֆինանսավորում'!$I$13</f>
        <v>-57.102054205000002</v>
      </c>
      <c r="C12" s="44">
        <f>-94.88+'[2]Պակասուրդի ֆինանսավորում'!$I$13</f>
        <v>-116.172014377</v>
      </c>
      <c r="D12" s="167">
        <v>-95.814292162499996</v>
      </c>
      <c r="E12" s="49"/>
    </row>
    <row r="13" spans="1:6" ht="17.25">
      <c r="A13" s="52" t="s">
        <v>78</v>
      </c>
      <c r="B13" s="41"/>
      <c r="C13" s="47"/>
      <c r="D13" s="47"/>
      <c r="E13" s="44"/>
    </row>
    <row r="14" spans="1:6" ht="17.25">
      <c r="A14" s="45" t="s">
        <v>79</v>
      </c>
      <c r="B14" s="46">
        <f>20.55+'[1]Պակասուրդի ֆինանսավորում'!$I$15</f>
        <v>26.665676539045201</v>
      </c>
      <c r="C14" s="46">
        <f>6.98+'[2]Պակասուրդի ֆինանսավորում'!$I$15</f>
        <v>4.5539375069752008</v>
      </c>
      <c r="D14" s="171">
        <v>3.76995536590222</v>
      </c>
      <c r="E14" s="172">
        <v>-244.80323001442537</v>
      </c>
    </row>
    <row r="15" spans="1:6" ht="17.25">
      <c r="A15" s="42" t="s">
        <v>72</v>
      </c>
      <c r="B15" s="43"/>
      <c r="C15" s="43"/>
      <c r="D15" s="43"/>
      <c r="E15" s="44"/>
    </row>
    <row r="16" spans="1:6" ht="17.25">
      <c r="A16" s="48" t="s">
        <v>80</v>
      </c>
      <c r="B16" s="47">
        <f>20.55+'[1]Պակասուրդի ֆինանսավորում'!$I$17</f>
        <v>26.665676539045201</v>
      </c>
      <c r="C16" s="167">
        <f>6.98+'[2]Պակասուրդի ֆինանսավորում'!$I$17</f>
        <v>4.5539375069752008</v>
      </c>
      <c r="D16" s="167">
        <v>3.76995536590222</v>
      </c>
      <c r="E16" s="49"/>
    </row>
    <row r="17" spans="1:5" ht="17.25">
      <c r="A17" s="50" t="s">
        <v>75</v>
      </c>
      <c r="B17" s="43"/>
      <c r="C17" s="43"/>
      <c r="D17" s="43"/>
      <c r="E17" s="44"/>
    </row>
    <row r="18" spans="1:5" ht="17.25">
      <c r="A18" s="51" t="s">
        <v>81</v>
      </c>
      <c r="B18" s="44">
        <f>31.96+'[1]Պակասուրդի ֆինանսավորում'!$I$19</f>
        <v>43.090410812690003</v>
      </c>
      <c r="C18" s="44">
        <f>22.66+'[2]Պակասուրդի ֆինանսավորում'!$I$19</f>
        <v>26.430315879276002</v>
      </c>
      <c r="D18" s="173">
        <v>37.268559074853002</v>
      </c>
      <c r="E18" s="49"/>
    </row>
    <row r="19" spans="1:5" ht="17.25">
      <c r="A19" s="42" t="s">
        <v>72</v>
      </c>
      <c r="B19" s="43"/>
      <c r="C19" s="43"/>
      <c r="D19" s="43"/>
      <c r="E19" s="44"/>
    </row>
    <row r="20" spans="1:5" ht="17.25">
      <c r="A20" s="53" t="s">
        <v>82</v>
      </c>
      <c r="B20" s="44">
        <f>31.96+'[1]Պակասուրդի ֆինանսավորում'!$I$21</f>
        <v>42.937140812690004</v>
      </c>
      <c r="C20" s="44">
        <f>22.66+'[2]Պակասուրդի ֆինանսավորում'!$I$21</f>
        <v>26.430315879276002</v>
      </c>
      <c r="D20" s="167">
        <v>37.268559074853002</v>
      </c>
      <c r="E20" s="49"/>
    </row>
    <row r="21" spans="1:5" ht="17.25">
      <c r="A21" s="53" t="s">
        <v>83</v>
      </c>
      <c r="B21" s="173">
        <v>0.15326999999999999</v>
      </c>
      <c r="C21" s="44" t="s">
        <v>24</v>
      </c>
      <c r="D21" s="44" t="s">
        <v>24</v>
      </c>
      <c r="E21" s="44"/>
    </row>
    <row r="22" spans="1:5" ht="17.25">
      <c r="A22" s="51" t="s">
        <v>84</v>
      </c>
      <c r="B22" s="44">
        <f>-11.4+'[1]Պակասուրդի ֆինանսավորում'!$I$23</f>
        <v>-16.4147342736448</v>
      </c>
      <c r="C22" s="168">
        <f>-15.67+'[2]Պակասուրդի ֆինանսավորում'!$I$23</f>
        <v>-21.866378372300801</v>
      </c>
      <c r="D22" s="167">
        <v>-33.498603708950782</v>
      </c>
      <c r="E22" s="49"/>
    </row>
    <row r="23" spans="1:5" ht="34.5">
      <c r="A23" s="48" t="s">
        <v>85</v>
      </c>
      <c r="B23" s="44" t="s">
        <v>24</v>
      </c>
      <c r="C23" s="44" t="s">
        <v>24</v>
      </c>
      <c r="D23" s="44" t="s">
        <v>24</v>
      </c>
      <c r="E23" s="49"/>
    </row>
    <row r="24" spans="1:5" ht="16.5" customHeight="1">
      <c r="A24" s="50" t="s">
        <v>75</v>
      </c>
      <c r="B24" s="43"/>
      <c r="C24" s="43"/>
      <c r="D24" s="43"/>
      <c r="E24" s="43"/>
    </row>
    <row r="25" spans="1:5" ht="17.25">
      <c r="A25" s="51" t="s">
        <v>76</v>
      </c>
      <c r="B25" s="44" t="s">
        <v>24</v>
      </c>
      <c r="C25" s="44" t="s">
        <v>24</v>
      </c>
      <c r="D25" s="44" t="s">
        <v>24</v>
      </c>
      <c r="E25" s="49"/>
    </row>
    <row r="26" spans="1:5" ht="17.25">
      <c r="A26" s="54" t="s">
        <v>77</v>
      </c>
      <c r="B26" s="44" t="s">
        <v>24</v>
      </c>
      <c r="C26" s="44" t="s">
        <v>24</v>
      </c>
      <c r="D26" s="44" t="s">
        <v>24</v>
      </c>
      <c r="E26" s="49"/>
    </row>
    <row r="27" spans="1:5">
      <c r="A27" s="55" t="s">
        <v>86</v>
      </c>
      <c r="B27" s="29"/>
      <c r="C27" s="29"/>
      <c r="E27" s="29"/>
    </row>
    <row r="28" spans="1:5" ht="33" customHeight="1">
      <c r="A28" s="210" t="s">
        <v>87</v>
      </c>
      <c r="B28" s="210"/>
      <c r="C28" s="210"/>
      <c r="D28" s="210"/>
      <c r="E28" s="210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B12" sqref="B12:D12"/>
    </sheetView>
  </sheetViews>
  <sheetFormatPr defaultRowHeight="15"/>
  <cols>
    <col min="1" max="1" width="61" customWidth="1"/>
    <col min="2" max="2" width="15.85546875" customWidth="1"/>
    <col min="3" max="3" width="15.5703125" customWidth="1"/>
    <col min="4" max="4" width="15" style="29" customWidth="1"/>
    <col min="5" max="5" width="15.7109375" customWidth="1"/>
  </cols>
  <sheetData>
    <row r="1" spans="1:7" ht="16.5">
      <c r="A1" s="203" t="s">
        <v>64</v>
      </c>
      <c r="B1" s="203"/>
      <c r="C1" s="203"/>
      <c r="D1" s="203"/>
      <c r="E1" s="203"/>
    </row>
    <row r="2" spans="1:7" ht="36.75" customHeight="1">
      <c r="A2" s="209" t="s">
        <v>131</v>
      </c>
      <c r="B2" s="209"/>
      <c r="C2" s="209"/>
      <c r="D2" s="209"/>
      <c r="E2" s="209"/>
    </row>
    <row r="3" spans="1:7">
      <c r="A3" s="29"/>
      <c r="B3" s="29"/>
      <c r="C3" s="38" t="s">
        <v>70</v>
      </c>
      <c r="D3" s="38"/>
      <c r="E3" s="29"/>
    </row>
    <row r="4" spans="1:7">
      <c r="A4" s="29"/>
      <c r="B4" s="29"/>
      <c r="C4" s="29"/>
      <c r="E4" s="29"/>
    </row>
    <row r="5" spans="1:7" ht="51.75">
      <c r="A5" s="39"/>
      <c r="B5" s="36" t="s">
        <v>140</v>
      </c>
      <c r="C5" s="36" t="s">
        <v>137</v>
      </c>
      <c r="D5" s="36" t="s">
        <v>127</v>
      </c>
      <c r="E5" s="36" t="s">
        <v>130</v>
      </c>
    </row>
    <row r="6" spans="1:7" ht="17.25">
      <c r="A6" s="56" t="s">
        <v>88</v>
      </c>
      <c r="B6" s="57">
        <f>42.06+'[1]Պակասուրդի ֆինանսավորում'!$I$38</f>
        <v>44.488014941814605</v>
      </c>
      <c r="C6" s="57">
        <f>25.14+'[2]Պակասուրդի ֆինանսավորում'!$I$33</f>
        <v>28.646407131556202</v>
      </c>
      <c r="D6" s="57">
        <v>68.257522041549947</v>
      </c>
      <c r="E6" s="57">
        <v>100</v>
      </c>
      <c r="G6" s="93"/>
    </row>
    <row r="7" spans="1:7" ht="17.25">
      <c r="A7" s="63" t="s">
        <v>72</v>
      </c>
      <c r="B7" s="43"/>
      <c r="C7" s="58"/>
      <c r="D7" s="58"/>
      <c r="E7" s="58"/>
    </row>
    <row r="8" spans="1:7" ht="17.25">
      <c r="A8" s="59" t="s">
        <v>89</v>
      </c>
      <c r="B8" s="60">
        <f>17.77+'[1]Պակասուրդի ֆինանսավորում'!$I$40</f>
        <v>17.78038504825</v>
      </c>
      <c r="C8" s="174">
        <f>28.17+'[2]Պակասուրդի ֆինանսավորում'!$I$35</f>
        <v>29.25883135175</v>
      </c>
      <c r="D8" s="60">
        <v>33.003547733000005</v>
      </c>
      <c r="E8" s="60">
        <v>48.35151752639068</v>
      </c>
    </row>
    <row r="9" spans="1:7" ht="17.25">
      <c r="A9" s="63" t="s">
        <v>72</v>
      </c>
      <c r="B9" s="43"/>
      <c r="C9" s="58"/>
      <c r="D9" s="58"/>
      <c r="E9" s="58"/>
    </row>
    <row r="10" spans="1:7" s="29" customFormat="1" ht="34.5">
      <c r="A10" s="61" t="s">
        <v>90</v>
      </c>
      <c r="B10" s="58">
        <f>17.77+'[1]Պակասուրդի ֆինանսավորում'!$I$42</f>
        <v>17.78038504825</v>
      </c>
      <c r="C10" s="58">
        <f>28.17+'[2]Պակասուրդի ֆինանսավորում'!$I$35</f>
        <v>29.25883135175</v>
      </c>
      <c r="D10" s="44">
        <v>33.003547733000005</v>
      </c>
      <c r="E10" s="175">
        <v>48.35151752639068</v>
      </c>
    </row>
    <row r="11" spans="1:7" ht="17.25">
      <c r="A11" s="62" t="s">
        <v>91</v>
      </c>
      <c r="B11" s="57"/>
      <c r="C11" s="58"/>
      <c r="D11" s="58"/>
      <c r="E11" s="49"/>
    </row>
    <row r="12" spans="1:7" ht="17.25">
      <c r="A12" s="59" t="s">
        <v>92</v>
      </c>
      <c r="B12" s="60">
        <f>24.29+'[1]Պակասուրդի ֆինանսավորում'!$I$44</f>
        <v>26.707629893564601</v>
      </c>
      <c r="C12" s="60">
        <f>26.98+'[2]Պակասուրդի ֆինանսավորում'!$I$39</f>
        <v>29.3975757798062</v>
      </c>
      <c r="D12" s="60">
        <v>35.253974308549942</v>
      </c>
      <c r="E12" s="60">
        <v>51.64848247360932</v>
      </c>
    </row>
    <row r="13" spans="1:7" ht="17.25">
      <c r="A13" s="63" t="s">
        <v>72</v>
      </c>
      <c r="B13" s="43"/>
      <c r="C13" s="58"/>
      <c r="D13" s="58"/>
      <c r="E13" s="58"/>
    </row>
    <row r="14" spans="1:7" s="29" customFormat="1" ht="34.5">
      <c r="A14" s="62" t="s">
        <v>93</v>
      </c>
      <c r="B14" s="58">
        <f>8.73+'[1]Պակասուրդի ֆինանսավորում'!$I$46</f>
        <v>11.1476298935646</v>
      </c>
      <c r="C14" s="58">
        <f>11.35+'[2]Պակասուրդի ֆինանսավորում'!$I$41</f>
        <v>13.767575779806201</v>
      </c>
      <c r="D14" s="44">
        <v>19.372333398949941</v>
      </c>
      <c r="E14" s="175">
        <v>28.38124329675717</v>
      </c>
    </row>
    <row r="15" spans="1:7" s="29" customFormat="1" ht="34.5">
      <c r="A15" s="64" t="s">
        <v>94</v>
      </c>
      <c r="B15" s="58">
        <f>15.564047544+'[1]Պակասուրդի ֆինանսավորում'!$I$47</f>
        <v>15.564047543999999</v>
      </c>
      <c r="C15" s="175">
        <v>15.628486777599999</v>
      </c>
      <c r="D15" s="175">
        <v>15.8816409096</v>
      </c>
      <c r="E15" s="175">
        <v>23.267239176852151</v>
      </c>
    </row>
    <row r="16" spans="1:7" ht="17.25">
      <c r="A16" s="65" t="s">
        <v>95</v>
      </c>
      <c r="B16" s="66"/>
      <c r="C16" s="66"/>
      <c r="D16" s="66"/>
      <c r="E16" s="75"/>
    </row>
    <row r="17" spans="1:5">
      <c r="A17" s="29"/>
      <c r="B17" s="29"/>
      <c r="C17" s="29"/>
      <c r="E17" s="29"/>
    </row>
    <row r="18" spans="1:5" ht="34.5" customHeight="1">
      <c r="A18" s="210" t="s">
        <v>87</v>
      </c>
      <c r="B18" s="210"/>
      <c r="C18" s="210"/>
      <c r="D18" s="210"/>
      <c r="E18" s="210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>
      <selection activeCell="B13" sqref="B13:E13"/>
    </sheetView>
  </sheetViews>
  <sheetFormatPr defaultRowHeight="15"/>
  <cols>
    <col min="1" max="1" width="68.42578125" customWidth="1"/>
    <col min="2" max="2" width="15.85546875" customWidth="1"/>
    <col min="3" max="3" width="15.5703125" customWidth="1"/>
    <col min="4" max="4" width="15.140625" customWidth="1"/>
    <col min="5" max="5" width="15" customWidth="1"/>
  </cols>
  <sheetData>
    <row r="1" spans="1:5" ht="17.25">
      <c r="A1" s="205" t="s">
        <v>64</v>
      </c>
      <c r="B1" s="205"/>
      <c r="C1" s="205"/>
      <c r="D1" s="205"/>
      <c r="E1" s="205"/>
    </row>
    <row r="2" spans="1:5" ht="17.25" customHeight="1">
      <c r="A2" s="211" t="s">
        <v>132</v>
      </c>
      <c r="B2" s="211"/>
      <c r="C2" s="211"/>
      <c r="D2" s="211"/>
      <c r="E2" s="211"/>
    </row>
    <row r="3" spans="1:5">
      <c r="A3" s="29"/>
      <c r="B3" s="29"/>
      <c r="C3" s="29"/>
      <c r="D3" s="29"/>
    </row>
    <row r="4" spans="1:5" ht="17.25">
      <c r="A4" s="39"/>
      <c r="B4" s="36" t="s">
        <v>138</v>
      </c>
      <c r="C4" s="36" t="s">
        <v>134</v>
      </c>
      <c r="D4" s="36" t="s">
        <v>116</v>
      </c>
      <c r="E4" s="81" t="s">
        <v>123</v>
      </c>
    </row>
    <row r="5" spans="1:5" ht="24.75" customHeight="1">
      <c r="A5" s="68" t="s">
        <v>96</v>
      </c>
      <c r="B5" s="184">
        <v>375.37326000000002</v>
      </c>
      <c r="C5" s="184">
        <v>520.98987599999998</v>
      </c>
      <c r="D5" s="101">
        <v>549.73017000000004</v>
      </c>
      <c r="E5" s="102">
        <v>539.67860299999995</v>
      </c>
    </row>
    <row r="6" spans="1:5" ht="21.75" customHeight="1">
      <c r="A6" s="69" t="s">
        <v>97</v>
      </c>
      <c r="B6" s="103">
        <v>100</v>
      </c>
      <c r="C6" s="103">
        <v>100</v>
      </c>
      <c r="D6" s="103">
        <v>100</v>
      </c>
      <c r="E6" s="104">
        <v>100</v>
      </c>
    </row>
    <row r="7" spans="1:5" ht="17.25">
      <c r="A7" s="69" t="s">
        <v>72</v>
      </c>
      <c r="B7" s="105"/>
      <c r="C7" s="105"/>
      <c r="D7" s="105"/>
      <c r="E7" s="82"/>
    </row>
    <row r="8" spans="1:5" ht="17.25">
      <c r="A8" s="67" t="s">
        <v>98</v>
      </c>
      <c r="B8" s="106">
        <v>7.5924427861483803</v>
      </c>
      <c r="C8" s="107">
        <v>4.1257999416480002</v>
      </c>
      <c r="D8" s="108">
        <v>4.1224406512016598</v>
      </c>
      <c r="E8" s="109">
        <v>4.5301870157709399</v>
      </c>
    </row>
    <row r="9" spans="1:5" ht="17.25">
      <c r="A9" s="67" t="s">
        <v>99</v>
      </c>
      <c r="B9" s="106">
        <v>46.606143442396501</v>
      </c>
      <c r="C9" s="107">
        <v>44.209690362582002</v>
      </c>
      <c r="D9" s="108">
        <v>43.9065143541239</v>
      </c>
      <c r="E9" s="109">
        <v>39.961500567403398</v>
      </c>
    </row>
    <row r="10" spans="1:5" ht="17.25">
      <c r="A10" s="67" t="s">
        <v>100</v>
      </c>
      <c r="B10" s="106">
        <v>45.466691740376</v>
      </c>
      <c r="C10" s="107">
        <v>51.180037517658</v>
      </c>
      <c r="D10" s="106">
        <v>51.394732619459504</v>
      </c>
      <c r="E10" s="109">
        <v>54.7104836765226</v>
      </c>
    </row>
    <row r="11" spans="1:5" ht="17.25">
      <c r="A11" s="67" t="s">
        <v>101</v>
      </c>
      <c r="B11" s="106">
        <v>0.334722031079145</v>
      </c>
      <c r="C11" s="106">
        <v>0.48447217811195997</v>
      </c>
      <c r="D11" s="106">
        <v>0.57631237521491696</v>
      </c>
      <c r="E11" s="109">
        <v>0.79782874030304995</v>
      </c>
    </row>
    <row r="12" spans="1:5" ht="36" customHeight="1">
      <c r="A12" s="69" t="s">
        <v>102</v>
      </c>
      <c r="B12" s="110">
        <v>14.216050600624</v>
      </c>
      <c r="C12" s="111">
        <v>13.2944508504812</v>
      </c>
      <c r="D12" s="112">
        <v>13.087737381830999</v>
      </c>
      <c r="E12" s="113">
        <v>12.4947447938367</v>
      </c>
    </row>
    <row r="13" spans="1:5" ht="22.5" customHeight="1">
      <c r="A13" s="69" t="s">
        <v>103</v>
      </c>
      <c r="B13" s="114">
        <v>2229.2918161059201</v>
      </c>
      <c r="C13" s="114">
        <v>2965.26882302987</v>
      </c>
      <c r="D13" s="114">
        <v>2787.4616453650401</v>
      </c>
      <c r="E13" s="115">
        <v>3246.1871594305198</v>
      </c>
    </row>
    <row r="14" spans="1:5">
      <c r="A14" s="29"/>
      <c r="B14" s="29"/>
      <c r="C14" s="29"/>
      <c r="D14" s="29"/>
    </row>
    <row r="15" spans="1:5" ht="33.75" customHeight="1">
      <c r="A15" s="210" t="s">
        <v>87</v>
      </c>
      <c r="B15" s="210"/>
      <c r="C15" s="210"/>
      <c r="D15" s="210"/>
      <c r="E15" s="210"/>
    </row>
  </sheetData>
  <mergeCells count="3">
    <mergeCell ref="A2:E2"/>
    <mergeCell ref="A15:E15"/>
    <mergeCell ref="A1:E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5" sqref="B5:E5"/>
    </sheetView>
  </sheetViews>
  <sheetFormatPr defaultRowHeight="15"/>
  <cols>
    <col min="1" max="1" width="56.5703125" customWidth="1"/>
    <col min="2" max="2" width="17.28515625" customWidth="1"/>
    <col min="3" max="3" width="16.85546875" customWidth="1"/>
    <col min="4" max="4" width="16.140625" customWidth="1"/>
    <col min="5" max="5" width="16.7109375" customWidth="1"/>
  </cols>
  <sheetData>
    <row r="1" spans="1:5" ht="17.25">
      <c r="A1" s="205" t="s">
        <v>64</v>
      </c>
      <c r="B1" s="205"/>
      <c r="C1" s="205"/>
      <c r="D1" s="205"/>
      <c r="E1" s="205"/>
    </row>
    <row r="2" spans="1:5" ht="37.5" customHeight="1">
      <c r="A2" s="211" t="s">
        <v>133</v>
      </c>
      <c r="B2" s="211"/>
      <c r="C2" s="211"/>
      <c r="D2" s="211"/>
      <c r="E2" s="211"/>
    </row>
    <row r="3" spans="1:5" ht="17.25">
      <c r="A3" s="30"/>
      <c r="B3" s="30"/>
      <c r="C3" s="30"/>
      <c r="D3" s="30"/>
    </row>
    <row r="4" spans="1:5" ht="17.25">
      <c r="A4" s="39"/>
      <c r="B4" s="43" t="s">
        <v>138</v>
      </c>
      <c r="C4" s="43" t="s">
        <v>134</v>
      </c>
      <c r="D4" s="43" t="s">
        <v>116</v>
      </c>
      <c r="E4" s="85" t="s">
        <v>123</v>
      </c>
    </row>
    <row r="5" spans="1:5" ht="34.5">
      <c r="A5" s="70" t="s">
        <v>104</v>
      </c>
      <c r="B5" s="183">
        <v>3051.0432758689603</v>
      </c>
      <c r="C5" s="183">
        <v>3484.7389705929322</v>
      </c>
      <c r="D5" s="182">
        <v>4021.0232631182698</v>
      </c>
      <c r="E5" s="182">
        <v>3997.8386289</v>
      </c>
    </row>
    <row r="6" spans="1:5" ht="17.25">
      <c r="A6" s="71" t="s">
        <v>105</v>
      </c>
      <c r="B6" s="176">
        <v>100</v>
      </c>
      <c r="C6" s="176">
        <v>100</v>
      </c>
      <c r="D6" s="176">
        <v>100</v>
      </c>
      <c r="E6" s="81">
        <v>100</v>
      </c>
    </row>
    <row r="7" spans="1:5" ht="17.25">
      <c r="A7" s="72" t="s">
        <v>72</v>
      </c>
      <c r="B7" s="81"/>
      <c r="C7" s="177"/>
      <c r="D7" s="176"/>
      <c r="E7" s="81"/>
    </row>
    <row r="8" spans="1:5" ht="17.25">
      <c r="A8" s="73" t="s">
        <v>106</v>
      </c>
      <c r="B8" s="179">
        <v>83.971734913773517</v>
      </c>
      <c r="C8" s="179">
        <v>82.83865394920214</v>
      </c>
      <c r="D8" s="178">
        <v>78.766588519272602</v>
      </c>
      <c r="E8" s="179">
        <v>78.357520276698395</v>
      </c>
    </row>
    <row r="9" spans="1:5" ht="17.25">
      <c r="A9" s="73" t="s">
        <v>107</v>
      </c>
      <c r="B9" s="163">
        <v>15.272209241980317</v>
      </c>
      <c r="C9" s="163">
        <v>16.478315628541562</v>
      </c>
      <c r="D9" s="178">
        <v>20.622226256783001</v>
      </c>
      <c r="E9" s="163">
        <v>21.054868927303399</v>
      </c>
    </row>
    <row r="10" spans="1:5" ht="17.25">
      <c r="A10" s="73" t="s">
        <v>108</v>
      </c>
      <c r="B10" s="163">
        <v>0.75605584424615146</v>
      </c>
      <c r="C10" s="163">
        <v>0.68303042225629629</v>
      </c>
      <c r="D10" s="178">
        <v>0.61118522394436203</v>
      </c>
      <c r="E10" s="163">
        <v>0.58761079599813004</v>
      </c>
    </row>
    <row r="11" spans="1:5" ht="17.25">
      <c r="A11" s="71" t="s">
        <v>109</v>
      </c>
      <c r="B11" s="180">
        <v>100</v>
      </c>
      <c r="C11" s="180">
        <v>100</v>
      </c>
      <c r="D11" s="180">
        <v>100</v>
      </c>
      <c r="E11" s="81">
        <v>100</v>
      </c>
    </row>
    <row r="12" spans="1:5" ht="17.25">
      <c r="A12" s="72" t="s">
        <v>72</v>
      </c>
      <c r="B12" s="81"/>
      <c r="C12" s="181"/>
      <c r="D12" s="180"/>
      <c r="E12" s="81"/>
    </row>
    <row r="13" spans="1:5" ht="17.25">
      <c r="A13" s="74" t="s">
        <v>110</v>
      </c>
      <c r="B13" s="179">
        <v>25.481680106460519</v>
      </c>
      <c r="C13" s="179">
        <v>33.313108081172224</v>
      </c>
      <c r="D13" s="178">
        <v>39.4080879324652</v>
      </c>
      <c r="E13" s="179">
        <v>40.667890392998302</v>
      </c>
    </row>
    <row r="14" spans="1:5" ht="17.25">
      <c r="A14" s="74" t="s">
        <v>111</v>
      </c>
      <c r="B14" s="179">
        <v>54.314683913680817</v>
      </c>
      <c r="C14" s="179">
        <v>46.582192201622703</v>
      </c>
      <c r="D14" s="178">
        <v>40.707650179879103</v>
      </c>
      <c r="E14" s="179">
        <v>39.5746554994222</v>
      </c>
    </row>
    <row r="15" spans="1:5" ht="17.25">
      <c r="A15" s="74" t="s">
        <v>112</v>
      </c>
      <c r="B15" s="179">
        <v>10.220375593748555</v>
      </c>
      <c r="C15" s="179">
        <v>12.267987693522212</v>
      </c>
      <c r="D15" s="178">
        <v>13.2140462039815</v>
      </c>
      <c r="E15" s="179">
        <v>13.0846540895507</v>
      </c>
    </row>
    <row r="16" spans="1:5" ht="17.25">
      <c r="A16" s="74" t="s">
        <v>113</v>
      </c>
      <c r="B16" s="179">
        <v>9.1100519125258899</v>
      </c>
      <c r="C16" s="179">
        <v>7.0005445894098495</v>
      </c>
      <c r="D16" s="178">
        <v>5.9311905336050801</v>
      </c>
      <c r="E16" s="179">
        <v>5.9452890467316903</v>
      </c>
    </row>
    <row r="17" spans="1:5" ht="17.25">
      <c r="A17" s="74" t="s">
        <v>114</v>
      </c>
      <c r="B17" s="179">
        <v>0.2196694845781777</v>
      </c>
      <c r="C17" s="179">
        <v>0.17963866966858022</v>
      </c>
      <c r="D17" s="178">
        <v>0.14739461506047299</v>
      </c>
      <c r="E17" s="179">
        <v>0.13990996984135401</v>
      </c>
    </row>
    <row r="18" spans="1:5" ht="17.25">
      <c r="A18" s="74" t="s">
        <v>115</v>
      </c>
      <c r="B18" s="179">
        <v>0.65353898900601837</v>
      </c>
      <c r="C18" s="179">
        <v>0.65652876460444864</v>
      </c>
      <c r="D18" s="178">
        <v>0.59163053500867802</v>
      </c>
      <c r="E18" s="179">
        <v>0.58760100145571903</v>
      </c>
    </row>
    <row r="20" spans="1:5" ht="28.5" customHeight="1">
      <c r="A20" s="207" t="s">
        <v>40</v>
      </c>
      <c r="B20" s="207"/>
      <c r="C20" s="207"/>
      <c r="D20" s="207"/>
      <c r="E20" s="207"/>
    </row>
  </sheetData>
  <mergeCells count="3">
    <mergeCell ref="A2:E2"/>
    <mergeCell ref="A1:E1"/>
    <mergeCell ref="A20:E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2018-07-19T10:05:24Z</cp:lastPrinted>
  <dcterms:created xsi:type="dcterms:W3CDTF">2016-03-11T11:20:21Z</dcterms:created>
  <dcterms:modified xsi:type="dcterms:W3CDTF">2018-07-23T08:28:14Z</dcterms:modified>
</cp:coreProperties>
</file>